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lt Channels Sales Dep\LCD_Sales\Docs For New Partnership\калькуляторы\Новый\"/>
    </mc:Choice>
  </mc:AlternateContent>
  <bookViews>
    <workbookView xWindow="0" yWindow="0" windowWidth="23040" windowHeight="9045" tabRatio="683"/>
  </bookViews>
  <sheets>
    <sheet name="Вхідні данні" sheetId="1" r:id="rId1"/>
    <sheet name="Графік погашення стандартний" sheetId="3" r:id="rId2"/>
    <sheet name="Графік погашення Multistep" sheetId="8" state="hidden" r:id="rId3"/>
    <sheet name="Графік погашення ануітет" sheetId="5" r:id="rId4"/>
    <sheet name="Графік погашення Тойота Легко" sheetId="6" state="hidden" r:id="rId5"/>
    <sheet name="Витрати" sheetId="7" r:id="rId6"/>
  </sheets>
  <definedNames>
    <definedName name="_xlnm.Print_Area" localSheetId="5">Витрати!$A$1:$F$34</definedName>
    <definedName name="_xlnm.Print_Area" localSheetId="0">'Вхідні данні'!$A:$D</definedName>
    <definedName name="_xlnm.Print_Area" localSheetId="2">'Графік погашення Multistep'!$A$1:$G$96</definedName>
    <definedName name="_xlnm.Print_Area" localSheetId="3">'Графік погашення ануітет'!$A$1:$H$96</definedName>
    <definedName name="_xlnm.Print_Area" localSheetId="1">'Графік погашення стандартний'!$A$1:$G$96</definedName>
    <definedName name="_xlnm.Print_Area" localSheetId="4">'Графік погашення Тойота Легко'!$A$1:$G$96</definedName>
  </definedNames>
  <calcPr calcId="162913" iterateCount="1000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30" i="1" l="1"/>
  <c r="C28" i="1" l="1"/>
  <c r="E16" i="1" l="1"/>
  <c r="F8" i="5" l="1"/>
  <c r="F9" i="8"/>
  <c r="F7" i="8"/>
  <c r="F8" i="3"/>
  <c r="C14" i="1"/>
  <c r="C20" i="1" s="1"/>
  <c r="F16" i="1" l="1"/>
  <c r="F31" i="1" s="1"/>
  <c r="E31" i="1" s="1"/>
  <c r="D71" i="8" s="1"/>
  <c r="F8" i="6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C47" i="6" l="1"/>
  <c r="C55" i="6"/>
  <c r="C63" i="6"/>
  <c r="C71" i="6"/>
  <c r="C79" i="6"/>
  <c r="C87" i="6"/>
  <c r="C67" i="6"/>
  <c r="C91" i="6"/>
  <c r="C60" i="6"/>
  <c r="C92" i="6"/>
  <c r="C70" i="6"/>
  <c r="C48" i="6"/>
  <c r="C56" i="6"/>
  <c r="C64" i="6"/>
  <c r="C72" i="6"/>
  <c r="C80" i="6"/>
  <c r="C88" i="6"/>
  <c r="C83" i="6"/>
  <c r="C68" i="6"/>
  <c r="C54" i="6"/>
  <c r="C86" i="6"/>
  <c r="C49" i="6"/>
  <c r="C57" i="6"/>
  <c r="C65" i="6"/>
  <c r="C73" i="6"/>
  <c r="C81" i="6"/>
  <c r="C89" i="6"/>
  <c r="C59" i="6"/>
  <c r="C52" i="6"/>
  <c r="C84" i="6"/>
  <c r="C78" i="6"/>
  <c r="C50" i="6"/>
  <c r="C58" i="6"/>
  <c r="C66" i="6"/>
  <c r="C74" i="6"/>
  <c r="C82" i="6"/>
  <c r="C90" i="6"/>
  <c r="C51" i="6"/>
  <c r="C75" i="6"/>
  <c r="C76" i="6"/>
  <c r="C62" i="6"/>
  <c r="C94" i="6"/>
  <c r="C53" i="6"/>
  <c r="C61" i="6"/>
  <c r="C69" i="6"/>
  <c r="C77" i="6"/>
  <c r="C85" i="6"/>
  <c r="C93" i="6"/>
  <c r="C46" i="6"/>
  <c r="E76" i="6"/>
  <c r="C81" i="8"/>
  <c r="C65" i="8"/>
  <c r="E94" i="8"/>
  <c r="E78" i="8"/>
  <c r="F75" i="8"/>
  <c r="C90" i="8"/>
  <c r="C85" i="8"/>
  <c r="C79" i="8"/>
  <c r="C74" i="8"/>
  <c r="C69" i="8"/>
  <c r="C63" i="8"/>
  <c r="E93" i="8"/>
  <c r="E88" i="8"/>
  <c r="E82" i="8"/>
  <c r="E77" i="8"/>
  <c r="E72" i="8"/>
  <c r="F90" i="8"/>
  <c r="F85" i="8"/>
  <c r="F79" i="8"/>
  <c r="F74" i="8"/>
  <c r="C91" i="8"/>
  <c r="C75" i="8"/>
  <c r="C59" i="8"/>
  <c r="E89" i="8"/>
  <c r="E73" i="8"/>
  <c r="F86" i="8"/>
  <c r="C94" i="8"/>
  <c r="C89" i="8"/>
  <c r="C83" i="8"/>
  <c r="C78" i="8"/>
  <c r="C73" i="8"/>
  <c r="C67" i="8"/>
  <c r="C62" i="8"/>
  <c r="E92" i="8"/>
  <c r="E86" i="8"/>
  <c r="E81" i="8"/>
  <c r="E76" i="8"/>
  <c r="F94" i="8"/>
  <c r="F89" i="8"/>
  <c r="F83" i="8"/>
  <c r="F78" i="8"/>
  <c r="F73" i="8"/>
  <c r="C86" i="8"/>
  <c r="C70" i="8"/>
  <c r="E84" i="8"/>
  <c r="F91" i="8"/>
  <c r="F81" i="8"/>
  <c r="C93" i="8"/>
  <c r="C87" i="8"/>
  <c r="C82" i="8"/>
  <c r="C77" i="8"/>
  <c r="C71" i="8"/>
  <c r="C66" i="8"/>
  <c r="C61" i="8"/>
  <c r="E90" i="8"/>
  <c r="E85" i="8"/>
  <c r="E80" i="8"/>
  <c r="E74" i="8"/>
  <c r="F93" i="8"/>
  <c r="F87" i="8"/>
  <c r="F82" i="8"/>
  <c r="F77" i="8"/>
  <c r="F71" i="8"/>
  <c r="D92" i="8"/>
  <c r="D86" i="8"/>
  <c r="D81" i="8"/>
  <c r="D76" i="8"/>
  <c r="D90" i="8"/>
  <c r="D85" i="8"/>
  <c r="D80" i="8"/>
  <c r="D74" i="8"/>
  <c r="D94" i="8"/>
  <c r="D89" i="8"/>
  <c r="D84" i="8"/>
  <c r="D78" i="8"/>
  <c r="D73" i="8"/>
  <c r="D93" i="8"/>
  <c r="D88" i="8"/>
  <c r="D82" i="8"/>
  <c r="D77" i="8"/>
  <c r="D72" i="8"/>
  <c r="C92" i="8"/>
  <c r="C88" i="8"/>
  <c r="C84" i="8"/>
  <c r="C80" i="8"/>
  <c r="C76" i="8"/>
  <c r="C72" i="8"/>
  <c r="C68" i="8"/>
  <c r="C64" i="8"/>
  <c r="C60" i="8"/>
  <c r="D91" i="8"/>
  <c r="D87" i="8"/>
  <c r="D83" i="8"/>
  <c r="D79" i="8"/>
  <c r="D75" i="8"/>
  <c r="E91" i="8"/>
  <c r="E87" i="8"/>
  <c r="E83" i="8"/>
  <c r="E79" i="8"/>
  <c r="E75" i="8"/>
  <c r="E71" i="8"/>
  <c r="F92" i="8"/>
  <c r="F88" i="8"/>
  <c r="F84" i="8"/>
  <c r="F80" i="8"/>
  <c r="F76" i="8"/>
  <c r="F72" i="8"/>
  <c r="D79" i="6"/>
  <c r="D63" i="6"/>
  <c r="D47" i="6"/>
  <c r="D87" i="6"/>
  <c r="D71" i="6"/>
  <c r="D55" i="6"/>
  <c r="E84" i="6"/>
  <c r="D86" i="6"/>
  <c r="D70" i="6"/>
  <c r="D54" i="6"/>
  <c r="E80" i="6"/>
  <c r="D94" i="6"/>
  <c r="D78" i="6"/>
  <c r="D62" i="6"/>
  <c r="E93" i="6"/>
  <c r="F32" i="1"/>
  <c r="D90" i="6"/>
  <c r="D82" i="6"/>
  <c r="D74" i="6"/>
  <c r="D66" i="6"/>
  <c r="D58" i="6"/>
  <c r="D50" i="6"/>
  <c r="E88" i="6"/>
  <c r="D91" i="6"/>
  <c r="D83" i="6"/>
  <c r="D75" i="6"/>
  <c r="D67" i="6"/>
  <c r="D59" i="6"/>
  <c r="D51" i="6"/>
  <c r="E92" i="6"/>
  <c r="D92" i="6"/>
  <c r="D88" i="6"/>
  <c r="D84" i="6"/>
  <c r="D80" i="6"/>
  <c r="D76" i="6"/>
  <c r="D72" i="6"/>
  <c r="D68" i="6"/>
  <c r="D64" i="6"/>
  <c r="D60" i="6"/>
  <c r="D56" i="6"/>
  <c r="D52" i="6"/>
  <c r="D48" i="6"/>
  <c r="E94" i="6"/>
  <c r="E90" i="6"/>
  <c r="E86" i="6"/>
  <c r="E82" i="6"/>
  <c r="E78" i="6"/>
  <c r="E74" i="6"/>
  <c r="E70" i="6"/>
  <c r="E66" i="6"/>
  <c r="E62" i="6"/>
  <c r="E58" i="6"/>
  <c r="E54" i="6"/>
  <c r="E50" i="6"/>
  <c r="F92" i="6"/>
  <c r="F88" i="6"/>
  <c r="F84" i="6"/>
  <c r="F80" i="6"/>
  <c r="F76" i="6"/>
  <c r="F72" i="6"/>
  <c r="F68" i="6"/>
  <c r="F64" i="6"/>
  <c r="F60" i="6"/>
  <c r="F56" i="6"/>
  <c r="F52" i="6"/>
  <c r="F48" i="6"/>
  <c r="E89" i="6"/>
  <c r="E85" i="6"/>
  <c r="E81" i="6"/>
  <c r="E77" i="6"/>
  <c r="E73" i="6"/>
  <c r="E69" i="6"/>
  <c r="E65" i="6"/>
  <c r="E61" i="6"/>
  <c r="E57" i="6"/>
  <c r="E53" i="6"/>
  <c r="E49" i="6"/>
  <c r="F91" i="6"/>
  <c r="F87" i="6"/>
  <c r="F83" i="6"/>
  <c r="F79" i="6"/>
  <c r="F75" i="6"/>
  <c r="F71" i="6"/>
  <c r="F67" i="6"/>
  <c r="F63" i="6"/>
  <c r="F59" i="6"/>
  <c r="F55" i="6"/>
  <c r="F51" i="6"/>
  <c r="F47" i="6"/>
  <c r="E72" i="6"/>
  <c r="E68" i="6"/>
  <c r="E64" i="6"/>
  <c r="E60" i="6"/>
  <c r="E56" i="6"/>
  <c r="E52" i="6"/>
  <c r="E48" i="6"/>
  <c r="F94" i="6"/>
  <c r="F90" i="6"/>
  <c r="F86" i="6"/>
  <c r="F82" i="6"/>
  <c r="F78" i="6"/>
  <c r="F74" i="6"/>
  <c r="F70" i="6"/>
  <c r="F66" i="6"/>
  <c r="F62" i="6"/>
  <c r="F58" i="6"/>
  <c r="F54" i="6"/>
  <c r="F50" i="6"/>
  <c r="D93" i="6"/>
  <c r="D89" i="6"/>
  <c r="D85" i="6"/>
  <c r="D81" i="6"/>
  <c r="D77" i="6"/>
  <c r="D73" i="6"/>
  <c r="D69" i="6"/>
  <c r="D65" i="6"/>
  <c r="D61" i="6"/>
  <c r="D57" i="6"/>
  <c r="D53" i="6"/>
  <c r="D49" i="6"/>
  <c r="E91" i="6"/>
  <c r="E87" i="6"/>
  <c r="E83" i="6"/>
  <c r="E79" i="6"/>
  <c r="E75" i="6"/>
  <c r="E71" i="6"/>
  <c r="E67" i="6"/>
  <c r="E63" i="6"/>
  <c r="E59" i="6"/>
  <c r="E55" i="6"/>
  <c r="E51" i="6"/>
  <c r="E47" i="6"/>
  <c r="F93" i="6"/>
  <c r="F89" i="6"/>
  <c r="F85" i="6"/>
  <c r="F81" i="6"/>
  <c r="F77" i="6"/>
  <c r="F73" i="6"/>
  <c r="F69" i="6"/>
  <c r="F65" i="6"/>
  <c r="F61" i="6"/>
  <c r="F57" i="6"/>
  <c r="F53" i="6"/>
  <c r="F49" i="6"/>
  <c r="C27" i="7"/>
  <c r="C26" i="7"/>
  <c r="C25" i="7"/>
  <c r="C13" i="7" l="1"/>
  <c r="C11" i="7"/>
  <c r="E3" i="7"/>
  <c r="E2" i="7"/>
  <c r="C17" i="7" s="1"/>
  <c r="E17" i="7" s="1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11" i="3"/>
  <c r="I10" i="3"/>
  <c r="E38" i="1" l="1"/>
  <c r="C40" i="1"/>
  <c r="E13" i="7" s="1"/>
  <c r="C36" i="1" l="1"/>
  <c r="E34" i="1" s="1"/>
  <c r="E5" i="7"/>
  <c r="C13" i="6" l="1"/>
  <c r="C21" i="6"/>
  <c r="C29" i="6"/>
  <c r="C37" i="6"/>
  <c r="C45" i="6"/>
  <c r="C22" i="6"/>
  <c r="C38" i="6"/>
  <c r="C42" i="6"/>
  <c r="C14" i="6"/>
  <c r="C30" i="6"/>
  <c r="C34" i="6"/>
  <c r="C15" i="6"/>
  <c r="C23" i="6"/>
  <c r="C31" i="6"/>
  <c r="C39" i="6"/>
  <c r="C12" i="6"/>
  <c r="C25" i="6"/>
  <c r="C41" i="6"/>
  <c r="C26" i="6"/>
  <c r="C16" i="6"/>
  <c r="C24" i="6"/>
  <c r="C32" i="6"/>
  <c r="C40" i="6"/>
  <c r="C11" i="6"/>
  <c r="C17" i="6"/>
  <c r="C33" i="6"/>
  <c r="C18" i="6"/>
  <c r="C19" i="6"/>
  <c r="C27" i="6"/>
  <c r="C35" i="6"/>
  <c r="C43" i="6"/>
  <c r="D11" i="6"/>
  <c r="C20" i="6"/>
  <c r="C28" i="6"/>
  <c r="C36" i="6"/>
  <c r="C44" i="6"/>
  <c r="E4" i="7"/>
  <c r="E42" i="1"/>
  <c r="C44" i="1"/>
  <c r="E11" i="7" s="1"/>
  <c r="E19" i="7" s="1"/>
  <c r="E20" i="7" s="1"/>
  <c r="C24" i="1" l="1"/>
  <c r="C81" i="3"/>
  <c r="C72" i="3"/>
  <c r="C88" i="5"/>
  <c r="C91" i="5"/>
  <c r="C86" i="3"/>
  <c r="C89" i="5"/>
  <c r="C80" i="5"/>
  <c r="C78" i="5"/>
  <c r="C89" i="3"/>
  <c r="C88" i="3"/>
  <c r="C72" i="5"/>
  <c r="C79" i="3"/>
  <c r="C85" i="3"/>
  <c r="C73" i="5"/>
  <c r="C75" i="3"/>
  <c r="C91" i="3"/>
  <c r="C94" i="5"/>
  <c r="C74" i="5"/>
  <c r="C78" i="3"/>
  <c r="C73" i="3"/>
  <c r="C76" i="3"/>
  <c r="C84" i="5"/>
  <c r="C82" i="3"/>
  <c r="C79" i="5"/>
  <c r="C83" i="3"/>
  <c r="C90" i="5"/>
  <c r="C93" i="3"/>
  <c r="C77" i="3"/>
  <c r="C84" i="3"/>
  <c r="C93" i="5"/>
  <c r="C77" i="5"/>
  <c r="C92" i="5"/>
  <c r="C76" i="5"/>
  <c r="C90" i="3"/>
  <c r="C87" i="5"/>
  <c r="C71" i="5"/>
  <c r="C87" i="3"/>
  <c r="C71" i="3"/>
  <c r="C82" i="5"/>
  <c r="E7" i="7" l="1"/>
  <c r="E6" i="7"/>
  <c r="F11" i="6"/>
  <c r="D12" i="6" s="1"/>
  <c r="C50" i="8"/>
  <c r="C49" i="8"/>
  <c r="C54" i="8"/>
  <c r="C58" i="8"/>
  <c r="C56" i="8"/>
  <c r="C53" i="8"/>
  <c r="C52" i="8"/>
  <c r="C47" i="8"/>
  <c r="C57" i="8"/>
  <c r="C55" i="8"/>
  <c r="C48" i="8"/>
  <c r="C51" i="8"/>
  <c r="C14" i="8"/>
  <c r="C18" i="8"/>
  <c r="C16" i="8"/>
  <c r="C24" i="8"/>
  <c r="C11" i="8"/>
  <c r="F11" i="8" s="1"/>
  <c r="C42" i="8"/>
  <c r="C13" i="8"/>
  <c r="C44" i="8"/>
  <c r="C12" i="8"/>
  <c r="C15" i="8"/>
  <c r="C43" i="8"/>
  <c r="C37" i="8"/>
  <c r="C46" i="8"/>
  <c r="C40" i="8"/>
  <c r="C17" i="8"/>
  <c r="C19" i="8"/>
  <c r="C27" i="8"/>
  <c r="C31" i="8"/>
  <c r="C41" i="8"/>
  <c r="C45" i="8"/>
  <c r="C36" i="8"/>
  <c r="C20" i="8"/>
  <c r="C26" i="8"/>
  <c r="C33" i="8"/>
  <c r="C35" i="8"/>
  <c r="C39" i="8"/>
  <c r="C32" i="8"/>
  <c r="C25" i="8"/>
  <c r="C29" i="8"/>
  <c r="C21" i="8"/>
  <c r="C22" i="8"/>
  <c r="C30" i="8"/>
  <c r="C38" i="8"/>
  <c r="C34" i="8"/>
  <c r="C28" i="8"/>
  <c r="C23" i="8"/>
  <c r="C81" i="5"/>
  <c r="C74" i="3"/>
  <c r="C80" i="3"/>
  <c r="C75" i="5"/>
  <c r="C85" i="5"/>
  <c r="C83" i="5"/>
  <c r="C86" i="5"/>
  <c r="C94" i="3"/>
  <c r="C92" i="3"/>
  <c r="D11" i="8"/>
  <c r="C67" i="3"/>
  <c r="C63" i="5"/>
  <c r="C56" i="5"/>
  <c r="C69" i="3"/>
  <c r="C51" i="3"/>
  <c r="C58" i="5"/>
  <c r="C53" i="3"/>
  <c r="C54" i="5"/>
  <c r="C47" i="5"/>
  <c r="C65" i="5"/>
  <c r="C66" i="3"/>
  <c r="C66" i="5"/>
  <c r="C46" i="5"/>
  <c r="C61" i="5"/>
  <c r="C53" i="5"/>
  <c r="C62" i="3"/>
  <c r="C65" i="3"/>
  <c r="C52" i="3"/>
  <c r="C55" i="5"/>
  <c r="C61" i="3"/>
  <c r="C63" i="3"/>
  <c r="C51" i="5"/>
  <c r="C69" i="5"/>
  <c r="C59" i="5"/>
  <c r="C36" i="3"/>
  <c r="C62" i="5"/>
  <c r="C49" i="5"/>
  <c r="C47" i="3"/>
  <c r="C49" i="3"/>
  <c r="C48" i="5"/>
  <c r="C60" i="5"/>
  <c r="C54" i="3"/>
  <c r="C68" i="3"/>
  <c r="C57" i="3"/>
  <c r="C58" i="3"/>
  <c r="C59" i="3"/>
  <c r="C60" i="3"/>
  <c r="C52" i="5"/>
  <c r="C64" i="3"/>
  <c r="C68" i="5"/>
  <c r="C67" i="5"/>
  <c r="C57" i="5"/>
  <c r="C70" i="5"/>
  <c r="C55" i="3"/>
  <c r="C64" i="5"/>
  <c r="C70" i="3"/>
  <c r="C56" i="3"/>
  <c r="C50" i="3"/>
  <c r="C48" i="3"/>
  <c r="C50" i="5"/>
  <c r="C37" i="3"/>
  <c r="C12" i="5"/>
  <c r="C17" i="5"/>
  <c r="C15" i="3"/>
  <c r="C23" i="5"/>
  <c r="C29" i="3"/>
  <c r="C26" i="3"/>
  <c r="C43" i="5"/>
  <c r="C45" i="3"/>
  <c r="C28" i="5"/>
  <c r="C24" i="5"/>
  <c r="C21" i="5"/>
  <c r="C27" i="5"/>
  <c r="C41" i="5"/>
  <c r="C19" i="5"/>
  <c r="C14" i="5"/>
  <c r="C29" i="5"/>
  <c r="C33" i="5"/>
  <c r="C22" i="3"/>
  <c r="C11" i="3"/>
  <c r="F11" i="3" s="1"/>
  <c r="D12" i="3" s="1"/>
  <c r="C18" i="5"/>
  <c r="C18" i="3"/>
  <c r="C24" i="3"/>
  <c r="C39" i="3"/>
  <c r="C38" i="5"/>
  <c r="C32" i="3"/>
  <c r="C14" i="3"/>
  <c r="C13" i="5"/>
  <c r="C34" i="3"/>
  <c r="C23" i="3"/>
  <c r="C25" i="5"/>
  <c r="C34" i="5"/>
  <c r="C42" i="3"/>
  <c r="C44" i="3"/>
  <c r="C35" i="3"/>
  <c r="C21" i="3"/>
  <c r="C27" i="3"/>
  <c r="C30" i="3"/>
  <c r="C16" i="3"/>
  <c r="C25" i="3"/>
  <c r="C33" i="3"/>
  <c r="C38" i="3"/>
  <c r="C44" i="5"/>
  <c r="C20" i="3"/>
  <c r="C13" i="3"/>
  <c r="C35" i="5"/>
  <c r="C19" i="3"/>
  <c r="C30" i="5"/>
  <c r="C46" i="3"/>
  <c r="C45" i="5"/>
  <c r="C11" i="5"/>
  <c r="F11" i="5" s="1"/>
  <c r="D12" i="5" s="1"/>
  <c r="C42" i="5"/>
  <c r="C40" i="3"/>
  <c r="C43" i="3"/>
  <c r="C16" i="5"/>
  <c r="D11" i="5"/>
  <c r="C26" i="5"/>
  <c r="C15" i="5"/>
  <c r="C31" i="3"/>
  <c r="C37" i="5"/>
  <c r="C17" i="3"/>
  <c r="C39" i="5"/>
  <c r="C32" i="5"/>
  <c r="C28" i="3"/>
  <c r="C41" i="3"/>
  <c r="C36" i="5"/>
  <c r="D11" i="3"/>
  <c r="C40" i="5"/>
  <c r="C22" i="5"/>
  <c r="C20" i="5"/>
  <c r="C31" i="5"/>
  <c r="C12" i="3"/>
  <c r="E11" i="8" l="1"/>
  <c r="C48" i="1" s="1"/>
  <c r="E11" i="6"/>
  <c r="C50" i="1" s="1"/>
  <c r="F12" i="8"/>
  <c r="D12" i="8"/>
  <c r="E12" i="8" s="1"/>
  <c r="E12" i="6"/>
  <c r="F12" i="6"/>
  <c r="D13" i="6" s="1"/>
  <c r="C95" i="8"/>
  <c r="E12" i="5"/>
  <c r="E12" i="3"/>
  <c r="E11" i="3"/>
  <c r="C47" i="1" s="1"/>
  <c r="F12" i="3"/>
  <c r="D13" i="3" s="1"/>
  <c r="E13" i="3" s="1"/>
  <c r="E11" i="5"/>
  <c r="C49" i="1" s="1"/>
  <c r="C95" i="5"/>
  <c r="C95" i="6"/>
  <c r="C95" i="3"/>
  <c r="F12" i="5"/>
  <c r="D13" i="5" s="1"/>
  <c r="E13" i="5" s="1"/>
  <c r="F13" i="8" l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37" i="8" s="1"/>
  <c r="F38" i="8" s="1"/>
  <c r="F39" i="8" s="1"/>
  <c r="F40" i="8" s="1"/>
  <c r="F41" i="8" s="1"/>
  <c r="F42" i="8" s="1"/>
  <c r="F43" i="8" s="1"/>
  <c r="F44" i="8" s="1"/>
  <c r="F45" i="8" s="1"/>
  <c r="F46" i="8" s="1"/>
  <c r="F47" i="8" s="1"/>
  <c r="F48" i="8" s="1"/>
  <c r="F49" i="8" s="1"/>
  <c r="F50" i="8" s="1"/>
  <c r="F51" i="8" s="1"/>
  <c r="F52" i="8" s="1"/>
  <c r="F53" i="8" s="1"/>
  <c r="F54" i="8" s="1"/>
  <c r="F55" i="8" s="1"/>
  <c r="F56" i="8" s="1"/>
  <c r="F57" i="8" s="1"/>
  <c r="F58" i="8" s="1"/>
  <c r="F59" i="8" s="1"/>
  <c r="F60" i="8" s="1"/>
  <c r="F61" i="8" s="1"/>
  <c r="F62" i="8" s="1"/>
  <c r="F63" i="8" s="1"/>
  <c r="F64" i="8" s="1"/>
  <c r="F65" i="8" s="1"/>
  <c r="F66" i="8" s="1"/>
  <c r="F67" i="8" s="1"/>
  <c r="F68" i="8" s="1"/>
  <c r="F69" i="8" s="1"/>
  <c r="F70" i="8" s="1"/>
  <c r="D13" i="8"/>
  <c r="E13" i="8" s="1"/>
  <c r="E13" i="6"/>
  <c r="F13" i="6"/>
  <c r="F13" i="3"/>
  <c r="D14" i="3" s="1"/>
  <c r="E14" i="3" s="1"/>
  <c r="F13" i="5"/>
  <c r="F14" i="5" s="1"/>
  <c r="F14" i="6" l="1"/>
  <c r="D14" i="6"/>
  <c r="E14" i="6" s="1"/>
  <c r="D14" i="8"/>
  <c r="E14" i="8" s="1"/>
  <c r="D15" i="8"/>
  <c r="E15" i="8" s="1"/>
  <c r="F14" i="3"/>
  <c r="F15" i="3" s="1"/>
  <c r="D14" i="5"/>
  <c r="E14" i="5" s="1"/>
  <c r="F15" i="5"/>
  <c r="D15" i="5"/>
  <c r="E15" i="5" s="1"/>
  <c r="F15" i="6" l="1"/>
  <c r="D15" i="6"/>
  <c r="E15" i="6" s="1"/>
  <c r="D16" i="8"/>
  <c r="E16" i="8" s="1"/>
  <c r="D15" i="3"/>
  <c r="E15" i="3" s="1"/>
  <c r="F16" i="3"/>
  <c r="D16" i="3"/>
  <c r="E16" i="3" s="1"/>
  <c r="F16" i="5"/>
  <c r="D16" i="5"/>
  <c r="E16" i="5" s="1"/>
  <c r="F16" i="6" l="1"/>
  <c r="D16" i="6"/>
  <c r="E16" i="6" s="1"/>
  <c r="D17" i="8"/>
  <c r="E17" i="8" s="1"/>
  <c r="F17" i="3"/>
  <c r="D17" i="3"/>
  <c r="E17" i="3" s="1"/>
  <c r="F17" i="5"/>
  <c r="D17" i="5"/>
  <c r="E17" i="5" s="1"/>
  <c r="F17" i="6" l="1"/>
  <c r="D17" i="6"/>
  <c r="E17" i="6" s="1"/>
  <c r="D18" i="8"/>
  <c r="E18" i="8" s="1"/>
  <c r="F18" i="3"/>
  <c r="D18" i="3"/>
  <c r="E18" i="3" s="1"/>
  <c r="F18" i="5"/>
  <c r="D18" i="5"/>
  <c r="E18" i="5" s="1"/>
  <c r="F18" i="6" l="1"/>
  <c r="D18" i="6"/>
  <c r="E18" i="6" s="1"/>
  <c r="D19" i="8"/>
  <c r="E19" i="8" s="1"/>
  <c r="F19" i="3"/>
  <c r="D19" i="3"/>
  <c r="E19" i="3" s="1"/>
  <c r="F19" i="5"/>
  <c r="D19" i="5"/>
  <c r="E19" i="5" s="1"/>
  <c r="F19" i="6" l="1"/>
  <c r="D19" i="6"/>
  <c r="E19" i="6" s="1"/>
  <c r="D20" i="8"/>
  <c r="E20" i="8" s="1"/>
  <c r="F20" i="3"/>
  <c r="D20" i="3"/>
  <c r="E20" i="3" s="1"/>
  <c r="F20" i="5"/>
  <c r="D20" i="5"/>
  <c r="E20" i="5" s="1"/>
  <c r="F20" i="6" l="1"/>
  <c r="D20" i="6"/>
  <c r="E20" i="6" s="1"/>
  <c r="D21" i="8"/>
  <c r="E21" i="8" s="1"/>
  <c r="F21" i="3"/>
  <c r="D21" i="3"/>
  <c r="E21" i="3" s="1"/>
  <c r="F21" i="5"/>
  <c r="D21" i="5"/>
  <c r="E21" i="5" s="1"/>
  <c r="F21" i="6" l="1"/>
  <c r="D21" i="6"/>
  <c r="E21" i="6" s="1"/>
  <c r="D22" i="8"/>
  <c r="E22" i="8" s="1"/>
  <c r="F22" i="3"/>
  <c r="D22" i="3"/>
  <c r="E22" i="3" s="1"/>
  <c r="F22" i="5"/>
  <c r="D22" i="5"/>
  <c r="E22" i="5" s="1"/>
  <c r="F22" i="6" l="1"/>
  <c r="D22" i="6"/>
  <c r="E22" i="6" s="1"/>
  <c r="D23" i="8"/>
  <c r="E23" i="8" s="1"/>
  <c r="F23" i="3"/>
  <c r="D23" i="3"/>
  <c r="E23" i="3" s="1"/>
  <c r="F23" i="5"/>
  <c r="D23" i="5"/>
  <c r="E23" i="5" s="1"/>
  <c r="F23" i="6" l="1"/>
  <c r="D23" i="6"/>
  <c r="E23" i="6" s="1"/>
  <c r="D24" i="8"/>
  <c r="E24" i="8" s="1"/>
  <c r="F24" i="3"/>
  <c r="D24" i="3"/>
  <c r="E24" i="3" s="1"/>
  <c r="F24" i="5"/>
  <c r="D24" i="5"/>
  <c r="E24" i="5" s="1"/>
  <c r="F24" i="6" l="1"/>
  <c r="D25" i="6" s="1"/>
  <c r="D24" i="6"/>
  <c r="E24" i="6" s="1"/>
  <c r="D25" i="8"/>
  <c r="E25" i="8" s="1"/>
  <c r="F25" i="3"/>
  <c r="D25" i="3"/>
  <c r="E25" i="3" s="1"/>
  <c r="F25" i="5"/>
  <c r="D25" i="5"/>
  <c r="E25" i="5" s="1"/>
  <c r="F25" i="6" l="1"/>
  <c r="D26" i="6" s="1"/>
  <c r="E25" i="6"/>
  <c r="D26" i="8"/>
  <c r="E26" i="8" s="1"/>
  <c r="F26" i="3"/>
  <c r="D26" i="3"/>
  <c r="E26" i="3" s="1"/>
  <c r="F26" i="5"/>
  <c r="D26" i="5"/>
  <c r="E26" i="5" s="1"/>
  <c r="F26" i="6" l="1"/>
  <c r="D27" i="6" s="1"/>
  <c r="E26" i="6"/>
  <c r="D27" i="8"/>
  <c r="E27" i="8" s="1"/>
  <c r="F27" i="3"/>
  <c r="D27" i="3"/>
  <c r="E27" i="3" s="1"/>
  <c r="F27" i="5"/>
  <c r="D27" i="5"/>
  <c r="E27" i="5" s="1"/>
  <c r="F27" i="6" l="1"/>
  <c r="D28" i="6" s="1"/>
  <c r="E27" i="6"/>
  <c r="D28" i="8"/>
  <c r="E28" i="8" s="1"/>
  <c r="F28" i="3"/>
  <c r="D28" i="3"/>
  <c r="E28" i="3" s="1"/>
  <c r="F28" i="5"/>
  <c r="D28" i="5"/>
  <c r="E28" i="5" s="1"/>
  <c r="F28" i="6" l="1"/>
  <c r="D29" i="6" s="1"/>
  <c r="E28" i="6"/>
  <c r="D29" i="8"/>
  <c r="E29" i="8" s="1"/>
  <c r="F29" i="3"/>
  <c r="D29" i="3"/>
  <c r="E29" i="3" s="1"/>
  <c r="F29" i="5"/>
  <c r="D29" i="5"/>
  <c r="E29" i="5" s="1"/>
  <c r="F29" i="6" l="1"/>
  <c r="D30" i="6" s="1"/>
  <c r="E29" i="6"/>
  <c r="D30" i="8"/>
  <c r="E30" i="8" s="1"/>
  <c r="F30" i="3"/>
  <c r="D30" i="3"/>
  <c r="E30" i="3" s="1"/>
  <c r="F30" i="5"/>
  <c r="D30" i="5"/>
  <c r="E30" i="5" s="1"/>
  <c r="F30" i="6" l="1"/>
  <c r="D31" i="6" s="1"/>
  <c r="E30" i="6"/>
  <c r="D31" i="8"/>
  <c r="E31" i="8" s="1"/>
  <c r="F31" i="3"/>
  <c r="D31" i="3"/>
  <c r="E31" i="3" s="1"/>
  <c r="F31" i="5"/>
  <c r="D31" i="5"/>
  <c r="E31" i="5" s="1"/>
  <c r="F31" i="6" l="1"/>
  <c r="D32" i="6" s="1"/>
  <c r="E31" i="6"/>
  <c r="D32" i="8"/>
  <c r="E32" i="8" s="1"/>
  <c r="F32" i="3"/>
  <c r="D32" i="3"/>
  <c r="E32" i="3" s="1"/>
  <c r="F32" i="5"/>
  <c r="D32" i="5"/>
  <c r="E32" i="5" s="1"/>
  <c r="F32" i="6" l="1"/>
  <c r="D33" i="6" s="1"/>
  <c r="E32" i="6"/>
  <c r="D33" i="8"/>
  <c r="E33" i="8" s="1"/>
  <c r="F33" i="3"/>
  <c r="D33" i="3"/>
  <c r="E33" i="3" s="1"/>
  <c r="F33" i="5"/>
  <c r="D33" i="5"/>
  <c r="E33" i="5" s="1"/>
  <c r="F33" i="6" l="1"/>
  <c r="D34" i="6" s="1"/>
  <c r="E33" i="6"/>
  <c r="D34" i="8"/>
  <c r="E34" i="8" s="1"/>
  <c r="F34" i="3"/>
  <c r="D34" i="3"/>
  <c r="E34" i="3" s="1"/>
  <c r="F34" i="5"/>
  <c r="D34" i="5"/>
  <c r="E34" i="5" s="1"/>
  <c r="F34" i="6" l="1"/>
  <c r="D35" i="6" s="1"/>
  <c r="E34" i="6"/>
  <c r="D35" i="8"/>
  <c r="E35" i="8" s="1"/>
  <c r="D35" i="3"/>
  <c r="E35" i="3" s="1"/>
  <c r="F35" i="3"/>
  <c r="F35" i="5"/>
  <c r="D35" i="5"/>
  <c r="E35" i="5" s="1"/>
  <c r="F35" i="6" l="1"/>
  <c r="D36" i="6" s="1"/>
  <c r="E35" i="6"/>
  <c r="D36" i="8"/>
  <c r="E36" i="8" s="1"/>
  <c r="D36" i="3"/>
  <c r="E36" i="3" s="1"/>
  <c r="F36" i="3"/>
  <c r="F36" i="5"/>
  <c r="D36" i="5"/>
  <c r="E36" i="5" s="1"/>
  <c r="F36" i="6" l="1"/>
  <c r="D37" i="6" s="1"/>
  <c r="E36" i="6"/>
  <c r="D37" i="8"/>
  <c r="E37" i="8" s="1"/>
  <c r="D37" i="3"/>
  <c r="E37" i="3" s="1"/>
  <c r="F37" i="3"/>
  <c r="F37" i="5"/>
  <c r="D37" i="5"/>
  <c r="E37" i="5" s="1"/>
  <c r="F37" i="6" l="1"/>
  <c r="D38" i="6" s="1"/>
  <c r="E37" i="6"/>
  <c r="D38" i="8"/>
  <c r="E38" i="8" s="1"/>
  <c r="F38" i="3"/>
  <c r="D38" i="3"/>
  <c r="E38" i="3" s="1"/>
  <c r="F38" i="5"/>
  <c r="D38" i="5"/>
  <c r="E38" i="5" s="1"/>
  <c r="F38" i="6" l="1"/>
  <c r="D39" i="6" s="1"/>
  <c r="E38" i="6"/>
  <c r="D39" i="8"/>
  <c r="E39" i="8" s="1"/>
  <c r="F39" i="5"/>
  <c r="D39" i="5"/>
  <c r="E39" i="5" s="1"/>
  <c r="D39" i="3"/>
  <c r="E39" i="3" s="1"/>
  <c r="F39" i="3"/>
  <c r="F39" i="6" l="1"/>
  <c r="D40" i="6" s="1"/>
  <c r="E39" i="6"/>
  <c r="D40" i="8"/>
  <c r="E40" i="8" s="1"/>
  <c r="F40" i="5"/>
  <c r="D40" i="5"/>
  <c r="E40" i="5" s="1"/>
  <c r="D40" i="3"/>
  <c r="E40" i="3" s="1"/>
  <c r="F40" i="3"/>
  <c r="F40" i="6" l="1"/>
  <c r="D41" i="6" s="1"/>
  <c r="E40" i="6"/>
  <c r="D41" i="8"/>
  <c r="E41" i="8" s="1"/>
  <c r="D41" i="3"/>
  <c r="E41" i="3" s="1"/>
  <c r="F41" i="3"/>
  <c r="F41" i="5"/>
  <c r="D41" i="5"/>
  <c r="E41" i="5" s="1"/>
  <c r="F41" i="6" l="1"/>
  <c r="D42" i="6" s="1"/>
  <c r="E41" i="6"/>
  <c r="D42" i="8"/>
  <c r="E42" i="8" s="1"/>
  <c r="F42" i="3"/>
  <c r="D42" i="3"/>
  <c r="E42" i="3" s="1"/>
  <c r="F42" i="5"/>
  <c r="D42" i="5"/>
  <c r="E42" i="5" s="1"/>
  <c r="F42" i="6" l="1"/>
  <c r="D43" i="6" s="1"/>
  <c r="E42" i="6"/>
  <c r="D43" i="8"/>
  <c r="E43" i="8" s="1"/>
  <c r="D43" i="3"/>
  <c r="E43" i="3" s="1"/>
  <c r="F43" i="3"/>
  <c r="F43" i="5"/>
  <c r="D43" i="5"/>
  <c r="E43" i="5" s="1"/>
  <c r="F43" i="6" l="1"/>
  <c r="D44" i="6" s="1"/>
  <c r="E43" i="6"/>
  <c r="D44" i="8"/>
  <c r="E44" i="8" s="1"/>
  <c r="D44" i="3"/>
  <c r="E44" i="3" s="1"/>
  <c r="F44" i="3"/>
  <c r="F44" i="5"/>
  <c r="D44" i="5"/>
  <c r="E44" i="5" s="1"/>
  <c r="F44" i="6" l="1"/>
  <c r="D45" i="6" s="1"/>
  <c r="E44" i="6"/>
  <c r="D45" i="8"/>
  <c r="E45" i="8" s="1"/>
  <c r="D45" i="3"/>
  <c r="E45" i="3" s="1"/>
  <c r="F45" i="3"/>
  <c r="F45" i="5"/>
  <c r="D45" i="5"/>
  <c r="E45" i="5" s="1"/>
  <c r="F45" i="6" l="1"/>
  <c r="D46" i="6" s="1"/>
  <c r="E45" i="6"/>
  <c r="D46" i="8"/>
  <c r="E46" i="8" s="1"/>
  <c r="F46" i="3"/>
  <c r="D46" i="3"/>
  <c r="E46" i="3" s="1"/>
  <c r="F46" i="5"/>
  <c r="D46" i="5"/>
  <c r="E46" i="5" s="1"/>
  <c r="F46" i="6" l="1"/>
  <c r="E46" i="6"/>
  <c r="D47" i="8"/>
  <c r="E47" i="8" s="1"/>
  <c r="D47" i="3"/>
  <c r="E47" i="3" s="1"/>
  <c r="F47" i="3"/>
  <c r="F47" i="5"/>
  <c r="D47" i="5"/>
  <c r="E47" i="5" s="1"/>
  <c r="D48" i="8" l="1"/>
  <c r="E48" i="8" s="1"/>
  <c r="F48" i="5"/>
  <c r="D48" i="5"/>
  <c r="E48" i="5" s="1"/>
  <c r="D48" i="3"/>
  <c r="E48" i="3" s="1"/>
  <c r="F48" i="3"/>
  <c r="D49" i="8" l="1"/>
  <c r="E49" i="8" s="1"/>
  <c r="D49" i="3"/>
  <c r="E49" i="3" s="1"/>
  <c r="F49" i="3"/>
  <c r="F49" i="5"/>
  <c r="D49" i="5"/>
  <c r="E49" i="5" s="1"/>
  <c r="D50" i="8" l="1"/>
  <c r="E50" i="8" s="1"/>
  <c r="F50" i="3"/>
  <c r="D50" i="3"/>
  <c r="E50" i="3" s="1"/>
  <c r="F50" i="5"/>
  <c r="D50" i="5"/>
  <c r="E50" i="5" s="1"/>
  <c r="D51" i="8" l="1"/>
  <c r="E51" i="8" s="1"/>
  <c r="F51" i="5"/>
  <c r="D51" i="5"/>
  <c r="E51" i="5" s="1"/>
  <c r="D51" i="3"/>
  <c r="E51" i="3" s="1"/>
  <c r="F51" i="3"/>
  <c r="D52" i="8" l="1"/>
  <c r="E52" i="8" s="1"/>
  <c r="D52" i="3"/>
  <c r="E52" i="3" s="1"/>
  <c r="F52" i="3"/>
  <c r="F52" i="5"/>
  <c r="D52" i="5"/>
  <c r="E52" i="5" s="1"/>
  <c r="D53" i="8" l="1"/>
  <c r="E53" i="8" s="1"/>
  <c r="D53" i="3"/>
  <c r="E53" i="3" s="1"/>
  <c r="F53" i="3"/>
  <c r="F53" i="5"/>
  <c r="D53" i="5"/>
  <c r="E53" i="5" s="1"/>
  <c r="D54" i="8" l="1"/>
  <c r="E54" i="8" s="1"/>
  <c r="F54" i="3"/>
  <c r="D54" i="3"/>
  <c r="E54" i="3" s="1"/>
  <c r="F54" i="5"/>
  <c r="D54" i="5"/>
  <c r="E54" i="5" s="1"/>
  <c r="D55" i="8" l="1"/>
  <c r="E55" i="8" s="1"/>
  <c r="F55" i="5"/>
  <c r="D55" i="5"/>
  <c r="E55" i="5" s="1"/>
  <c r="D55" i="3"/>
  <c r="E55" i="3" s="1"/>
  <c r="F55" i="3"/>
  <c r="D56" i="8" l="1"/>
  <c r="E56" i="8" s="1"/>
  <c r="D56" i="3"/>
  <c r="E56" i="3" s="1"/>
  <c r="F56" i="3"/>
  <c r="F56" i="5"/>
  <c r="D56" i="5"/>
  <c r="E56" i="5" s="1"/>
  <c r="D57" i="8" l="1"/>
  <c r="E57" i="8" s="1"/>
  <c r="D57" i="3"/>
  <c r="E57" i="3" s="1"/>
  <c r="F57" i="3"/>
  <c r="F57" i="5"/>
  <c r="D57" i="5"/>
  <c r="E57" i="5" s="1"/>
  <c r="D58" i="8" l="1"/>
  <c r="E58" i="8" s="1"/>
  <c r="F58" i="5"/>
  <c r="D58" i="5"/>
  <c r="E58" i="5" s="1"/>
  <c r="F58" i="3"/>
  <c r="D58" i="3"/>
  <c r="E58" i="3" s="1"/>
  <c r="D59" i="8" l="1"/>
  <c r="E59" i="8" s="1"/>
  <c r="D59" i="3"/>
  <c r="E59" i="3" s="1"/>
  <c r="F59" i="3"/>
  <c r="F59" i="5"/>
  <c r="D59" i="5"/>
  <c r="E59" i="5" s="1"/>
  <c r="D60" i="8" l="1"/>
  <c r="E60" i="8" s="1"/>
  <c r="F60" i="5"/>
  <c r="D60" i="5"/>
  <c r="E60" i="5" s="1"/>
  <c r="D60" i="3"/>
  <c r="E60" i="3" s="1"/>
  <c r="F60" i="3"/>
  <c r="D61" i="8" l="1"/>
  <c r="E61" i="8" s="1"/>
  <c r="F61" i="5"/>
  <c r="D61" i="5"/>
  <c r="E61" i="5" s="1"/>
  <c r="D61" i="3"/>
  <c r="E61" i="3" s="1"/>
  <c r="F61" i="3"/>
  <c r="D62" i="8" l="1"/>
  <c r="E62" i="8" s="1"/>
  <c r="F62" i="3"/>
  <c r="D62" i="3"/>
  <c r="E62" i="3" s="1"/>
  <c r="F62" i="5"/>
  <c r="D62" i="5"/>
  <c r="E62" i="5" s="1"/>
  <c r="D63" i="8" l="1"/>
  <c r="E63" i="8" s="1"/>
  <c r="F63" i="5"/>
  <c r="D63" i="5"/>
  <c r="E63" i="5" s="1"/>
  <c r="D63" i="3"/>
  <c r="E63" i="3" s="1"/>
  <c r="F63" i="3"/>
  <c r="D64" i="8" l="1"/>
  <c r="E64" i="8" s="1"/>
  <c r="F64" i="5"/>
  <c r="D64" i="5"/>
  <c r="E64" i="5" s="1"/>
  <c r="D64" i="3"/>
  <c r="E64" i="3" s="1"/>
  <c r="F64" i="3"/>
  <c r="D65" i="8" l="1"/>
  <c r="E65" i="8" s="1"/>
  <c r="D65" i="3"/>
  <c r="E65" i="3" s="1"/>
  <c r="F65" i="3"/>
  <c r="F65" i="5"/>
  <c r="D65" i="5"/>
  <c r="E65" i="5" s="1"/>
  <c r="D66" i="8" l="1"/>
  <c r="E66" i="8" s="1"/>
  <c r="F66" i="3"/>
  <c r="D66" i="3"/>
  <c r="E66" i="3" s="1"/>
  <c r="F66" i="5"/>
  <c r="D66" i="5"/>
  <c r="E66" i="5" s="1"/>
  <c r="D67" i="8" l="1"/>
  <c r="E67" i="8" s="1"/>
  <c r="F67" i="5"/>
  <c r="D67" i="5"/>
  <c r="E67" i="5" s="1"/>
  <c r="D67" i="3"/>
  <c r="E67" i="3" s="1"/>
  <c r="F67" i="3"/>
  <c r="D68" i="8" l="1"/>
  <c r="E68" i="8" s="1"/>
  <c r="F68" i="5"/>
  <c r="D68" i="5"/>
  <c r="E68" i="5" s="1"/>
  <c r="D68" i="3"/>
  <c r="E68" i="3" s="1"/>
  <c r="F68" i="3"/>
  <c r="D69" i="8" l="1"/>
  <c r="E69" i="8" s="1"/>
  <c r="F69" i="5"/>
  <c r="D69" i="5"/>
  <c r="E69" i="5" s="1"/>
  <c r="D69" i="3"/>
  <c r="E69" i="3" s="1"/>
  <c r="F69" i="3"/>
  <c r="D70" i="8" l="1"/>
  <c r="E70" i="8" s="1"/>
  <c r="F70" i="3"/>
  <c r="D70" i="3"/>
  <c r="E70" i="3" s="1"/>
  <c r="F70" i="5"/>
  <c r="D70" i="5"/>
  <c r="E70" i="5" s="1"/>
  <c r="D71" i="3" l="1"/>
  <c r="E71" i="3" s="1"/>
  <c r="F71" i="3"/>
  <c r="F71" i="5"/>
  <c r="D71" i="5"/>
  <c r="E71" i="5" s="1"/>
  <c r="F72" i="5" l="1"/>
  <c r="D72" i="5"/>
  <c r="E72" i="5" s="1"/>
  <c r="D72" i="3"/>
  <c r="E72" i="3" s="1"/>
  <c r="F72" i="3"/>
  <c r="F73" i="5" l="1"/>
  <c r="D73" i="5"/>
  <c r="E73" i="5" s="1"/>
  <c r="D73" i="3"/>
  <c r="E73" i="3" s="1"/>
  <c r="F73" i="3"/>
  <c r="F74" i="3" l="1"/>
  <c r="D74" i="3"/>
  <c r="E74" i="3" s="1"/>
  <c r="F74" i="5"/>
  <c r="D74" i="5"/>
  <c r="E74" i="5" s="1"/>
  <c r="F75" i="5" l="1"/>
  <c r="D75" i="5"/>
  <c r="E75" i="5" s="1"/>
  <c r="D75" i="3"/>
  <c r="E75" i="3" s="1"/>
  <c r="F75" i="3"/>
  <c r="D76" i="3" l="1"/>
  <c r="E76" i="3" s="1"/>
  <c r="F76" i="3"/>
  <c r="F76" i="5"/>
  <c r="D76" i="5"/>
  <c r="E76" i="5" s="1"/>
  <c r="D77" i="3" l="1"/>
  <c r="E77" i="3" s="1"/>
  <c r="F77" i="3"/>
  <c r="F77" i="5"/>
  <c r="D77" i="5"/>
  <c r="E77" i="5" s="1"/>
  <c r="F78" i="5" l="1"/>
  <c r="D78" i="5"/>
  <c r="E78" i="5" s="1"/>
  <c r="F78" i="3"/>
  <c r="D78" i="3"/>
  <c r="E78" i="3" s="1"/>
  <c r="D79" i="3" l="1"/>
  <c r="E79" i="3" s="1"/>
  <c r="F79" i="3"/>
  <c r="F79" i="5"/>
  <c r="D79" i="5"/>
  <c r="E79" i="5" s="1"/>
  <c r="F80" i="5" l="1"/>
  <c r="D80" i="5"/>
  <c r="E80" i="5" s="1"/>
  <c r="D80" i="3"/>
  <c r="E80" i="3" s="1"/>
  <c r="F80" i="3"/>
  <c r="D81" i="3" l="1"/>
  <c r="E81" i="3" s="1"/>
  <c r="F81" i="3"/>
  <c r="F81" i="5"/>
  <c r="D81" i="5"/>
  <c r="E81" i="5" s="1"/>
  <c r="F82" i="5" l="1"/>
  <c r="D82" i="5"/>
  <c r="E82" i="5" s="1"/>
  <c r="F82" i="3"/>
  <c r="D82" i="3"/>
  <c r="E82" i="3" s="1"/>
  <c r="D83" i="3" l="1"/>
  <c r="E83" i="3" s="1"/>
  <c r="F83" i="3"/>
  <c r="F83" i="5"/>
  <c r="D83" i="5"/>
  <c r="E83" i="5" s="1"/>
  <c r="F84" i="5" l="1"/>
  <c r="D84" i="5"/>
  <c r="E84" i="5" s="1"/>
  <c r="D84" i="3"/>
  <c r="E84" i="3" s="1"/>
  <c r="F84" i="3"/>
  <c r="D85" i="3" l="1"/>
  <c r="E85" i="3" s="1"/>
  <c r="F85" i="3"/>
  <c r="F85" i="5"/>
  <c r="D85" i="5"/>
  <c r="E85" i="5" s="1"/>
  <c r="F86" i="5" l="1"/>
  <c r="D86" i="5"/>
  <c r="E86" i="5" s="1"/>
  <c r="F86" i="3"/>
  <c r="D86" i="3"/>
  <c r="E86" i="3" s="1"/>
  <c r="D87" i="3" l="1"/>
  <c r="E87" i="3" s="1"/>
  <c r="F87" i="3"/>
  <c r="F87" i="5"/>
  <c r="D87" i="5"/>
  <c r="E87" i="5" s="1"/>
  <c r="F88" i="5" l="1"/>
  <c r="D88" i="5"/>
  <c r="E88" i="5" s="1"/>
  <c r="D88" i="3"/>
  <c r="E88" i="3" s="1"/>
  <c r="F88" i="3"/>
  <c r="D89" i="3" l="1"/>
  <c r="E89" i="3" s="1"/>
  <c r="F89" i="3"/>
  <c r="F89" i="5"/>
  <c r="D89" i="5"/>
  <c r="E89" i="5" s="1"/>
  <c r="F90" i="3" l="1"/>
  <c r="D90" i="3"/>
  <c r="E90" i="3" s="1"/>
  <c r="F90" i="5"/>
  <c r="D90" i="5"/>
  <c r="E90" i="5" s="1"/>
  <c r="F91" i="5" l="1"/>
  <c r="D91" i="5"/>
  <c r="E91" i="5" s="1"/>
  <c r="D91" i="3"/>
  <c r="E91" i="3" s="1"/>
  <c r="F91" i="3"/>
  <c r="D92" i="3" l="1"/>
  <c r="E92" i="3" s="1"/>
  <c r="F92" i="3"/>
  <c r="F92" i="5"/>
  <c r="D92" i="5"/>
  <c r="E92" i="5" s="1"/>
  <c r="D93" i="3" l="1"/>
  <c r="E93" i="3" s="1"/>
  <c r="F93" i="3"/>
  <c r="F93" i="5"/>
  <c r="D93" i="5"/>
  <c r="E93" i="5" s="1"/>
  <c r="F94" i="3" l="1"/>
  <c r="D94" i="3"/>
  <c r="E94" i="3" s="1"/>
  <c r="F94" i="5"/>
  <c r="D94" i="5"/>
  <c r="E94" i="5" s="1"/>
  <c r="D95" i="6"/>
  <c r="D95" i="5" l="1"/>
  <c r="D95" i="3"/>
  <c r="D95" i="8" l="1"/>
</calcChain>
</file>

<file path=xl/sharedStrings.xml><?xml version="1.0" encoding="utf-8"?>
<sst xmlns="http://schemas.openxmlformats.org/spreadsheetml/2006/main" count="102" uniqueCount="75">
  <si>
    <t>Умови кредитування</t>
  </si>
  <si>
    <t>Відсоткова ставка</t>
  </si>
  <si>
    <t>КАСКО в кредит</t>
  </si>
  <si>
    <t>Тариф по КАСКО</t>
  </si>
  <si>
    <t>Одноразова комісія в кредит</t>
  </si>
  <si>
    <t>Розмір комісії</t>
  </si>
  <si>
    <t>Страховий платіж, грн.</t>
  </si>
  <si>
    <t>Вартість авто, грн.</t>
  </si>
  <si>
    <t>Сума авансу, грн.</t>
  </si>
  <si>
    <t>Сума одноразової комісії</t>
  </si>
  <si>
    <t>Номер по порядку (місяць)</t>
  </si>
  <si>
    <t>Сума кредиту, яка повинна бути погашена у валюті кредиту</t>
  </si>
  <si>
    <t>Сума відсотків, яка повинна бути погашена у валюті кредиту</t>
  </si>
  <si>
    <t>ВСЬОГО</t>
  </si>
  <si>
    <t>Залишок заборгованості по кредиту у валюті кредиту</t>
  </si>
  <si>
    <t>Авансовий внесок</t>
  </si>
  <si>
    <t>Одноразово (від суми кредиту)</t>
  </si>
  <si>
    <t>Одноразово</t>
  </si>
  <si>
    <t>Вказується вручну, залежить від страхової компанії, автомобіля та регіону</t>
  </si>
  <si>
    <t>Щороку під час користування кредитом</t>
  </si>
  <si>
    <t>Єдина комісія, незалежно від кількості учасників угоди (позичальник, дружина, поручитель)</t>
  </si>
  <si>
    <t>Ануїтетний орієнтовний графік погашення заборгованості
по кредиту та відсоткам</t>
  </si>
  <si>
    <t>Стандартний орієнтовний графік погашення заборгованості
по кредиту та відсоткам</t>
  </si>
  <si>
    <t>Послуги МРЕВ (орієнтовно):</t>
  </si>
  <si>
    <t>Відрахування в пенсійний фонд</t>
  </si>
  <si>
    <t>Орієнтовний платіж</t>
  </si>
  <si>
    <t>ВСЬОГО витрати:</t>
  </si>
  <si>
    <t>ВСЬОГО витрати (з урахуванням початкового внеску):</t>
  </si>
  <si>
    <t>Прожитковий мінімум (ПМ)</t>
  </si>
  <si>
    <t>Вартість транспортного засобу (ТЗ)</t>
  </si>
  <si>
    <t>до 165 ПМ</t>
  </si>
  <si>
    <t>від 165 до 290 ПМ</t>
  </si>
  <si>
    <t>вище 290 ПМ</t>
  </si>
  <si>
    <t>Прожитковий мінімум для працездатного населення (ПМ) на дату заповнення:</t>
  </si>
  <si>
    <t>Прожитковий мінімум можна дізнатись на офіційному сайті в Інтернеті:</t>
  </si>
  <si>
    <t>http://index.minfin.com.ua/index/wage/</t>
  </si>
  <si>
    <t>Відсоток від вартості ТЗ</t>
  </si>
  <si>
    <t>ВИТРАТИ:</t>
  </si>
  <si>
    <t>Розрахунок відсотка відрахувань до пенсійного фонду:</t>
  </si>
  <si>
    <t xml:space="preserve">Комісія за операції в Державному реєстрі 
обтяжень рухомого майна </t>
  </si>
  <si>
    <t>Страхування автомобіля (КАСКО) в СК, 
акредитованій банком</t>
  </si>
  <si>
    <t>Страхування ОСЦПВ в СК, 
акредитованій банком</t>
  </si>
  <si>
    <t>Щороку під час користування кредитом 
(від вартості авто)</t>
  </si>
  <si>
    <t>Кредитний калькулятор</t>
  </si>
  <si>
    <t>Щомісячний платіж ануїтет</t>
  </si>
  <si>
    <t>Перший платіж стандарт</t>
  </si>
  <si>
    <t>Відсоткова ставка, пільгового періоду</t>
  </si>
  <si>
    <t>Комісія банку</t>
  </si>
  <si>
    <t>Перший платіж Multistep</t>
  </si>
  <si>
    <t>Пільговий період Multistep</t>
  </si>
  <si>
    <t>Страхування здоров'я</t>
  </si>
  <si>
    <t>Тариф страхування здоров'я</t>
  </si>
  <si>
    <t>Загальний строк кредиту</t>
  </si>
  <si>
    <t>Загальна сума кредиту, грн.</t>
  </si>
  <si>
    <t>12 міс. + 24 міс.</t>
  </si>
  <si>
    <t>Реєстрація авто</t>
  </si>
  <si>
    <t>Вартість аксесуарів грн.</t>
  </si>
  <si>
    <t>Загальна вартість авто, грн.</t>
  </si>
  <si>
    <t>Розмір авансу, %</t>
  </si>
  <si>
    <t>Відсоткова ставка пільгово періоду</t>
  </si>
  <si>
    <t>Відсоткова ставка після пільгово періоду</t>
  </si>
  <si>
    <t>Стандартний (Multistep) орієнтовний графік погашення заборгованості по кредиту та відсоткам</t>
  </si>
  <si>
    <t>Ануїтетний орієнтовний графік погашення заборгованості
по кредиту та відсоткам із залишковим платежем</t>
  </si>
  <si>
    <t>Щомісячний платіж Тойота Легко</t>
  </si>
  <si>
    <t>Відсоткова ставка Тойота Легко</t>
  </si>
  <si>
    <t>Условия Тойота Легко</t>
  </si>
  <si>
    <t>Залишковий платіж</t>
  </si>
  <si>
    <t>Так</t>
  </si>
  <si>
    <t>Загальна сума кредиту Тойота Легко, грн.</t>
  </si>
  <si>
    <t>Сума кредиту на сплату одноразової комісії, грн.</t>
  </si>
  <si>
    <t>Страхування здоров'я позичальника від хвороб та нещасних випадків, грн.</t>
  </si>
  <si>
    <t>Сума кредиту на КАСКО, грн.</t>
  </si>
  <si>
    <t>Сума кредиту на авто, грн.</t>
  </si>
  <si>
    <t>Залальна сума кредиту Тойота Легко, грн.
Загальна сума кредиту, грн.</t>
  </si>
  <si>
    <t>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</si>
</sst>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&quot; міс.&quot;"/>
    <numFmt numFmtId="165" formatCode="0.0%"/>
    <numFmt numFmtId="166" formatCode="_-* #,##0_-;\-* #,##0_-;_-* &quot;-&quot;??_-;_-@_-"/>
    <numFmt numFmtId="167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43" fontId="0" fillId="0" borderId="0" xfId="1" applyFont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43" fontId="2" fillId="2" borderId="1" xfId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43" fontId="0" fillId="0" borderId="1" xfId="1" applyFont="1" applyBorder="1" applyAlignment="1" applyProtection="1">
      <alignment horizontal="center" vertical="center"/>
      <protection hidden="1"/>
    </xf>
    <xf numFmtId="43" fontId="3" fillId="0" borderId="1" xfId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43" fontId="3" fillId="0" borderId="0" xfId="1" applyFont="1" applyAlignment="1" applyProtection="1">
      <alignment horizontal="center" vertical="center"/>
      <protection hidden="1"/>
    </xf>
    <xf numFmtId="43" fontId="3" fillId="0" borderId="0" xfId="0" applyNumberFormat="1" applyFont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4" fillId="0" borderId="0" xfId="0" applyFont="1" applyFill="1" applyAlignment="1" applyProtection="1">
      <protection hidden="1"/>
    </xf>
    <xf numFmtId="0" fontId="3" fillId="3" borderId="1" xfId="0" applyFont="1" applyFill="1" applyBorder="1" applyProtection="1">
      <protection hidden="1"/>
    </xf>
    <xf numFmtId="43" fontId="0" fillId="0" borderId="0" xfId="1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43" fontId="3" fillId="3" borderId="1" xfId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43" fontId="5" fillId="3" borderId="1" xfId="1" applyFont="1" applyFill="1" applyBorder="1" applyAlignment="1" applyProtection="1">
      <alignment vertical="center" wrapText="1"/>
      <protection hidden="1"/>
    </xf>
    <xf numFmtId="10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10" fontId="3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vertical="center" wrapText="1"/>
      <protection hidden="1"/>
    </xf>
    <xf numFmtId="0" fontId="7" fillId="3" borderId="1" xfId="0" applyFont="1" applyFill="1" applyBorder="1" applyAlignment="1" applyProtection="1">
      <alignment vertical="center" wrapText="1"/>
      <protection hidden="1"/>
    </xf>
    <xf numFmtId="10" fontId="5" fillId="3" borderId="1" xfId="2" applyNumberFormat="1" applyFont="1" applyFill="1" applyBorder="1" applyAlignment="1" applyProtection="1">
      <alignment vertical="center" wrapText="1"/>
      <protection hidden="1"/>
    </xf>
    <xf numFmtId="43" fontId="5" fillId="3" borderId="1" xfId="1" applyFont="1" applyFill="1" applyBorder="1" applyAlignment="1" applyProtection="1">
      <alignment horizontal="center" vertical="center" wrapText="1"/>
      <protection hidden="1"/>
    </xf>
    <xf numFmtId="165" fontId="3" fillId="3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43" fontId="10" fillId="0" borderId="1" xfId="1" applyFont="1" applyBorder="1" applyAlignment="1" applyProtection="1">
      <alignment vertical="center" wrapText="1"/>
      <protection locked="0" hidden="1"/>
    </xf>
    <xf numFmtId="0" fontId="3" fillId="0" borderId="1" xfId="0" applyFont="1" applyBorder="1" applyAlignment="1" applyProtection="1">
      <alignment horizontal="right"/>
      <protection locked="0" hidden="1"/>
    </xf>
    <xf numFmtId="43" fontId="3" fillId="0" borderId="1" xfId="1" applyFont="1" applyBorder="1" applyAlignment="1" applyProtection="1">
      <alignment horizontal="right"/>
      <protection locked="0" hidden="1"/>
    </xf>
    <xf numFmtId="164" fontId="3" fillId="0" borderId="1" xfId="0" applyNumberFormat="1" applyFont="1" applyBorder="1" applyAlignment="1" applyProtection="1">
      <alignment horizontal="right"/>
      <protection locked="0" hidden="1"/>
    </xf>
    <xf numFmtId="10" fontId="3" fillId="0" borderId="1" xfId="2" applyNumberFormat="1" applyFont="1" applyBorder="1" applyAlignment="1" applyProtection="1">
      <alignment horizontal="right"/>
      <protection locked="0"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4" fontId="0" fillId="0" borderId="0" xfId="0" applyNumberFormat="1" applyBorder="1" applyAlignment="1" applyProtection="1">
      <alignment horizontal="center" vertical="center"/>
      <protection hidden="1"/>
    </xf>
    <xf numFmtId="43" fontId="6" fillId="3" borderId="1" xfId="1" applyFont="1" applyFill="1" applyBorder="1" applyAlignment="1" applyProtection="1">
      <alignment vertical="center" wrapText="1"/>
      <protection hidden="1"/>
    </xf>
    <xf numFmtId="0" fontId="3" fillId="3" borderId="0" xfId="0" applyFont="1" applyFill="1" applyBorder="1" applyProtection="1">
      <protection hidden="1"/>
    </xf>
    <xf numFmtId="9" fontId="3" fillId="0" borderId="1" xfId="1" applyNumberFormat="1" applyFont="1" applyBorder="1" applyAlignment="1" applyProtection="1">
      <alignment horizontal="right"/>
      <protection locked="0" hidden="1"/>
    </xf>
    <xf numFmtId="0" fontId="0" fillId="0" borderId="3" xfId="0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right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horizontal="right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10" fontId="5" fillId="0" borderId="6" xfId="0" applyNumberFormat="1" applyFont="1" applyBorder="1" applyAlignment="1" applyProtection="1">
      <alignment horizontal="right" vertical="center"/>
      <protection hidden="1"/>
    </xf>
    <xf numFmtId="0" fontId="5" fillId="0" borderId="7" xfId="0" applyFont="1" applyBorder="1" applyAlignment="1" applyProtection="1">
      <alignment horizontal="right" vertical="center"/>
      <protection hidden="1"/>
    </xf>
    <xf numFmtId="10" fontId="6" fillId="0" borderId="8" xfId="0" applyNumberFormat="1" applyFont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10" fontId="3" fillId="0" borderId="0" xfId="2" applyNumberFormat="1" applyFont="1" applyBorder="1" applyAlignment="1" applyProtection="1">
      <alignment horizontal="right"/>
      <protection locked="0" hidden="1"/>
    </xf>
    <xf numFmtId="9" fontId="0" fillId="0" borderId="1" xfId="0" applyNumberFormat="1" applyBorder="1" applyProtection="1">
      <protection hidden="1"/>
    </xf>
    <xf numFmtId="10" fontId="0" fillId="0" borderId="1" xfId="0" applyNumberFormat="1" applyBorder="1" applyProtection="1">
      <protection hidden="1"/>
    </xf>
    <xf numFmtId="10" fontId="3" fillId="3" borderId="1" xfId="2" applyNumberFormat="1" applyFont="1" applyFill="1" applyBorder="1" applyAlignment="1" applyProtection="1">
      <alignment horizontal="right"/>
      <protection hidden="1"/>
    </xf>
    <xf numFmtId="9" fontId="0" fillId="0" borderId="0" xfId="0" applyNumberFormat="1" applyProtection="1">
      <protection hidden="1"/>
    </xf>
    <xf numFmtId="166" fontId="3" fillId="3" borderId="0" xfId="1" applyNumberFormat="1" applyFont="1" applyFill="1" applyBorder="1" applyAlignment="1" applyProtection="1">
      <alignment horizontal="right" vertical="center"/>
      <protection hidden="1"/>
    </xf>
    <xf numFmtId="166" fontId="3" fillId="3" borderId="1" xfId="1" applyNumberFormat="1" applyFont="1" applyFill="1" applyBorder="1" applyAlignment="1" applyProtection="1">
      <alignment horizontal="right"/>
      <protection hidden="1"/>
    </xf>
    <xf numFmtId="43" fontId="3" fillId="3" borderId="1" xfId="1" applyNumberFormat="1" applyFont="1" applyFill="1" applyBorder="1" applyAlignment="1" applyProtection="1">
      <alignment horizontal="right"/>
      <protection hidden="1"/>
    </xf>
    <xf numFmtId="166" fontId="3" fillId="0" borderId="1" xfId="1" applyNumberFormat="1" applyFont="1" applyBorder="1" applyAlignment="1" applyProtection="1">
      <alignment horizontal="right"/>
      <protection locked="0" hidden="1"/>
    </xf>
    <xf numFmtId="167" fontId="5" fillId="3" borderId="1" xfId="1" applyNumberFormat="1" applyFont="1" applyFill="1" applyBorder="1" applyAlignment="1" applyProtection="1">
      <alignment vertical="center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2" fillId="0" borderId="9" xfId="0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9" fillId="0" borderId="0" xfId="4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165" fontId="3" fillId="3" borderId="1" xfId="2" applyNumberFormat="1" applyFont="1" applyFill="1" applyBorder="1" applyAlignment="1" applyProtection="1">
      <alignment horizontal="center" vertical="center" wrapText="1"/>
      <protection hidden="1"/>
    </xf>
  </cellXfs>
  <cellStyles count="5">
    <cellStyle name="Comma" xfId="1" builtinId="3"/>
    <cellStyle name="Hyperlink" xfId="4" builtinId="8"/>
    <cellStyle name="Normal" xfId="0" builtinId="0"/>
    <cellStyle name="Percent" xfId="2" builtinId="5"/>
    <cellStyle name="Обычный 2 3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1520663</xdr:colOff>
      <xdr:row>0</xdr:row>
      <xdr:rowOff>0</xdr:rowOff>
    </xdr:from>
    <xdr:to>
      <xdr:col>6</xdr:col>
      <xdr:colOff>0</xdr:colOff>
      <xdr:row>4</xdr:row>
      <xdr:rowOff>163285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EA9C24EE-04E5-4192-95D0-487A805BB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75" y="0"/>
          <a:ext cx="2928072" cy="9252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1520663</xdr:colOff>
      <xdr:row>0</xdr:row>
      <xdr:rowOff>0</xdr:rowOff>
    </xdr:from>
    <xdr:to>
      <xdr:col>6</xdr:col>
      <xdr:colOff>0</xdr:colOff>
      <xdr:row>4</xdr:row>
      <xdr:rowOff>163285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E28D947-9C0C-49D7-B312-D4987F8CD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6738" y="0"/>
          <a:ext cx="2927512" cy="925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1546412</xdr:colOff>
      <xdr:row>0</xdr:row>
      <xdr:rowOff>0</xdr:rowOff>
    </xdr:from>
    <xdr:to>
      <xdr:col>5</xdr:col>
      <xdr:colOff>1678056</xdr:colOff>
      <xdr:row>4</xdr:row>
      <xdr:rowOff>163285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A2227712-BA68-438C-A114-D8329E669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6324" y="0"/>
          <a:ext cx="2899497" cy="9252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1546411</xdr:colOff>
      <xdr:row>0</xdr:row>
      <xdr:rowOff>0</xdr:rowOff>
    </xdr:from>
    <xdr:to>
      <xdr:col>5</xdr:col>
      <xdr:colOff>1678055</xdr:colOff>
      <xdr:row>4</xdr:row>
      <xdr:rowOff>163285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5C69B709-8087-4E2B-BE21-5655D6401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6323" y="0"/>
          <a:ext cx="2899497" cy="9252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2909022</xdr:colOff>
      <xdr:row>4</xdr:row>
      <xdr:rowOff>134710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45132562-7260-4CD0-8C45-41BB26ED2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899497" cy="925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index.minfin.com.ua/index/wa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5"/>
  <sheetViews>
    <sheetView showGridLines="0" tabSelected="1" zoomScaleNormal="100" workbookViewId="0">
      <selection activeCell="C11" sqref="C11"/>
    </sheetView>
  </sheetViews>
  <sheetFormatPr defaultColWidth="0" defaultRowHeight="15" zeroHeight="1" x14ac:dyDescent="0.25"/>
  <cols>
    <col min="1" max="1" width="9.140625" style="14" customWidth="1"/>
    <col min="2" max="2" width="41.28515625" style="14" customWidth="1"/>
    <col min="3" max="3" width="37.140625" style="21" customWidth="1"/>
    <col min="4" max="4" width="9.140625" style="14" customWidth="1"/>
    <col min="5" max="16383" width="12.28515625" style="14" hidden="1"/>
    <col min="16384" max="16384" width="4.5703125" style="14" hidden="1"/>
  </cols>
  <sheetData>
    <row r="1" spans="1:8" x14ac:dyDescent="0.25"/>
    <row r="2" spans="1:8" x14ac:dyDescent="0.25"/>
    <row r="3" spans="1:8" x14ac:dyDescent="0.25"/>
    <row r="4" spans="1:8" x14ac:dyDescent="0.25"/>
    <row r="5" spans="1:8" x14ac:dyDescent="0.25"/>
    <row r="6" spans="1:8" ht="18.75" x14ac:dyDescent="0.3">
      <c r="A6" s="67" t="s">
        <v>43</v>
      </c>
      <c r="B6" s="67"/>
      <c r="C6" s="67"/>
      <c r="D6" s="67"/>
      <c r="E6" s="13"/>
      <c r="F6" s="13"/>
      <c r="G6" s="13"/>
      <c r="H6" s="13"/>
    </row>
    <row r="7" spans="1:8" x14ac:dyDescent="0.25"/>
    <row r="8" spans="1:8" x14ac:dyDescent="0.25">
      <c r="B8" s="66" t="s">
        <v>0</v>
      </c>
      <c r="C8" s="66"/>
      <c r="D8" s="15"/>
      <c r="E8" s="15"/>
      <c r="F8" s="15"/>
      <c r="G8" s="15"/>
      <c r="H8" s="15"/>
    </row>
    <row r="9" spans="1:8" x14ac:dyDescent="0.25">
      <c r="B9" s="18"/>
      <c r="C9" s="19"/>
    </row>
    <row r="10" spans="1:8" x14ac:dyDescent="0.25">
      <c r="B10" s="16" t="s">
        <v>7</v>
      </c>
      <c r="C10" s="64">
        <v>1000000</v>
      </c>
    </row>
    <row r="11" spans="1:8" x14ac:dyDescent="0.25">
      <c r="B11" s="18"/>
      <c r="C11" s="19"/>
    </row>
    <row r="12" spans="1:8" x14ac:dyDescent="0.25">
      <c r="B12" s="16" t="s">
        <v>56</v>
      </c>
      <c r="C12" s="38">
        <v>0</v>
      </c>
    </row>
    <row r="13" spans="1:8" x14ac:dyDescent="0.25">
      <c r="B13" s="18"/>
      <c r="C13" s="19"/>
    </row>
    <row r="14" spans="1:8" x14ac:dyDescent="0.25">
      <c r="B14" s="16" t="s">
        <v>57</v>
      </c>
      <c r="C14" s="64">
        <f>C10+C12</f>
        <v>1000000</v>
      </c>
    </row>
    <row r="15" spans="1:8" x14ac:dyDescent="0.25">
      <c r="B15" s="18"/>
      <c r="C15" s="19"/>
    </row>
    <row r="16" spans="1:8" x14ac:dyDescent="0.25">
      <c r="B16" s="16" t="s">
        <v>52</v>
      </c>
      <c r="C16" s="39">
        <v>36</v>
      </c>
      <c r="E16" s="14">
        <f>IF(C16&gt;36,36,36)</f>
        <v>36</v>
      </c>
      <c r="F16" s="14">
        <f>IF(C16&gt;60,60,C16)</f>
        <v>36</v>
      </c>
    </row>
    <row r="17" spans="2:12" x14ac:dyDescent="0.25">
      <c r="B17" s="18"/>
      <c r="C17" s="19"/>
    </row>
    <row r="18" spans="2:12" x14ac:dyDescent="0.25">
      <c r="B18" s="16" t="s">
        <v>58</v>
      </c>
      <c r="C18" s="46">
        <v>0.5</v>
      </c>
    </row>
    <row r="19" spans="2:12" x14ac:dyDescent="0.25">
      <c r="B19" s="18"/>
      <c r="C19" s="19"/>
    </row>
    <row r="20" spans="2:12" x14ac:dyDescent="0.25">
      <c r="B20" s="16" t="s">
        <v>8</v>
      </c>
      <c r="C20" s="64">
        <f>C14*C18</f>
        <v>500000</v>
      </c>
    </row>
    <row r="21" spans="2:12" x14ac:dyDescent="0.25">
      <c r="B21" s="18"/>
      <c r="C21" s="19"/>
    </row>
    <row r="22" spans="2:12" hidden="1" x14ac:dyDescent="0.25">
      <c r="B22" s="16" t="s">
        <v>68</v>
      </c>
      <c r="C22" s="62">
        <f>C14-C20+E38+E42</f>
        <v>505048.505</v>
      </c>
    </row>
    <row r="23" spans="2:12" hidden="1" x14ac:dyDescent="0.25">
      <c r="B23" s="18"/>
      <c r="C23" s="19"/>
    </row>
    <row r="24" spans="2:12" x14ac:dyDescent="0.25">
      <c r="B24" s="16" t="s">
        <v>53</v>
      </c>
      <c r="C24" s="62">
        <f>C10-C20+E34+E38+E42</f>
        <v>514998.505</v>
      </c>
    </row>
    <row r="25" spans="2:12" x14ac:dyDescent="0.25">
      <c r="B25" s="18"/>
      <c r="C25" s="19"/>
      <c r="H25" s="14" t="s">
        <v>65</v>
      </c>
    </row>
    <row r="26" spans="2:12" x14ac:dyDescent="0.25">
      <c r="B26" s="16" t="s">
        <v>1</v>
      </c>
      <c r="C26" s="40">
        <v>4.99E-2</v>
      </c>
      <c r="H26" s="57">
        <v>0.1</v>
      </c>
      <c r="I26" s="57">
        <v>0.3</v>
      </c>
      <c r="J26" s="57">
        <v>0.65</v>
      </c>
      <c r="K26" s="57"/>
      <c r="L26" s="60">
        <v>0.3</v>
      </c>
    </row>
    <row r="27" spans="2:12" x14ac:dyDescent="0.25">
      <c r="B27" s="18"/>
      <c r="C27" s="56"/>
      <c r="H27" s="58">
        <v>9.9900000000000003E-2</v>
      </c>
      <c r="I27" s="58">
        <v>9.9900000000000003E-2</v>
      </c>
      <c r="J27" s="58">
        <v>9.9900000000000003E-2</v>
      </c>
      <c r="K27" s="58"/>
      <c r="L27" s="60">
        <v>0.4</v>
      </c>
    </row>
    <row r="28" spans="2:12" hidden="1" x14ac:dyDescent="0.25">
      <c r="B28" s="16" t="s">
        <v>64</v>
      </c>
      <c r="C28" s="59">
        <f>IF(E16=36,IF(C18=J26,J27,IF(AND(C18&gt;=I26,C18&lt;J26),I27,IF(AND(C18&gt;=H26,C18&lt;I26),H27,0))),"укажите другой срок кредита")</f>
        <v>9.9900000000000003E-2</v>
      </c>
    </row>
    <row r="29" spans="2:12" hidden="1" x14ac:dyDescent="0.25">
      <c r="B29" s="16" t="s">
        <v>66</v>
      </c>
      <c r="C29" s="46">
        <v>0.3</v>
      </c>
    </row>
    <row r="30" spans="2:12" hidden="1" x14ac:dyDescent="0.25">
      <c r="B30" s="68" t="str">
        <f>IF(AND(C18&gt;=0.51,C29=0.4),"Зверніть увагу! Для авансу 65% не передбачено Залишковий платіж 40%","")</f>
        <v/>
      </c>
      <c r="C30" s="69"/>
    </row>
    <row r="31" spans="2:12" hidden="1" x14ac:dyDescent="0.25">
      <c r="B31" s="16" t="s">
        <v>49</v>
      </c>
      <c r="C31" s="37" t="s">
        <v>54</v>
      </c>
      <c r="E31" s="14">
        <f>IF(C31=F31,12,24)</f>
        <v>12</v>
      </c>
      <c r="F31" s="14" t="str">
        <f>"12 міс. + "&amp;F16-12&amp;" міс."</f>
        <v>12 міс. + 24 міс.</v>
      </c>
    </row>
    <row r="32" spans="2:12" hidden="1" x14ac:dyDescent="0.25">
      <c r="B32" s="16" t="s">
        <v>46</v>
      </c>
      <c r="C32" s="40">
        <v>1E-4</v>
      </c>
      <c r="F32" s="14" t="str">
        <f>"24 міс. + "&amp;F16-24&amp;" міс."</f>
        <v>24 міс. + 12 міс.</v>
      </c>
    </row>
    <row r="33" spans="2:5" hidden="1" x14ac:dyDescent="0.25">
      <c r="B33" s="18"/>
      <c r="C33" s="19"/>
    </row>
    <row r="34" spans="2:5" x14ac:dyDescent="0.25">
      <c r="B34" s="16" t="s">
        <v>50</v>
      </c>
      <c r="C34" s="37" t="s">
        <v>67</v>
      </c>
      <c r="E34" s="17">
        <f>IF(C34="Так",C36,0)</f>
        <v>9950</v>
      </c>
    </row>
    <row r="35" spans="2:5" x14ac:dyDescent="0.25">
      <c r="B35" s="16" t="s">
        <v>51</v>
      </c>
      <c r="C35" s="40">
        <v>1.9900000000000001E-2</v>
      </c>
    </row>
    <row r="36" spans="2:5" x14ac:dyDescent="0.25">
      <c r="B36" s="16" t="s">
        <v>6</v>
      </c>
      <c r="C36" s="20">
        <f>(C14-C20+E38)*C35</f>
        <v>9950</v>
      </c>
    </row>
    <row r="37" spans="2:5" x14ac:dyDescent="0.25">
      <c r="B37" s="18"/>
      <c r="C37" s="19"/>
    </row>
    <row r="38" spans="2:5" x14ac:dyDescent="0.25">
      <c r="B38" s="16" t="s">
        <v>2</v>
      </c>
      <c r="C38" s="37" t="s">
        <v>74</v>
      </c>
      <c r="E38" s="17">
        <f>IF(C38="Так",C14*C39,0)</f>
        <v>0</v>
      </c>
    </row>
    <row r="39" spans="2:5" x14ac:dyDescent="0.25">
      <c r="B39" s="16" t="s">
        <v>3</v>
      </c>
      <c r="C39" s="40">
        <v>5.4899999999999997E-2</v>
      </c>
    </row>
    <row r="40" spans="2:5" x14ac:dyDescent="0.25">
      <c r="B40" s="16" t="s">
        <v>6</v>
      </c>
      <c r="C40" s="63">
        <f>C14*C39</f>
        <v>54900</v>
      </c>
    </row>
    <row r="41" spans="2:5" x14ac:dyDescent="0.25">
      <c r="B41" s="18"/>
      <c r="C41" s="19"/>
    </row>
    <row r="42" spans="2:5" x14ac:dyDescent="0.25">
      <c r="B42" s="16" t="s">
        <v>4</v>
      </c>
      <c r="C42" s="37" t="s">
        <v>67</v>
      </c>
      <c r="E42" s="17">
        <f>IF(C42="Так",(C14-C20+E34+E38)*C43,0)</f>
        <v>5048.5050000000001</v>
      </c>
    </row>
    <row r="43" spans="2:5" x14ac:dyDescent="0.25">
      <c r="B43" s="16" t="s">
        <v>5</v>
      </c>
      <c r="C43" s="40">
        <v>9.9000000000000008E-3</v>
      </c>
    </row>
    <row r="44" spans="2:5" x14ac:dyDescent="0.25">
      <c r="B44" s="16" t="s">
        <v>9</v>
      </c>
      <c r="C44" s="63">
        <f>(C14-C20+E34+E38)*C43</f>
        <v>5048.5050000000001</v>
      </c>
    </row>
    <row r="45" spans="2:5" x14ac:dyDescent="0.25">
      <c r="B45" s="18"/>
      <c r="C45" s="19"/>
    </row>
    <row r="46" spans="2:5" x14ac:dyDescent="0.25">
      <c r="B46" s="18"/>
      <c r="C46" s="19"/>
    </row>
    <row r="47" spans="2:5" x14ac:dyDescent="0.25">
      <c r="B47" s="45" t="s">
        <v>45</v>
      </c>
      <c r="C47" s="61">
        <f ca="1">'Графік погашення стандартний'!E11</f>
        <v>16488.120020612023</v>
      </c>
    </row>
    <row r="48" spans="2:5" hidden="1" x14ac:dyDescent="0.25">
      <c r="B48" s="45" t="s">
        <v>48</v>
      </c>
      <c r="C48" s="61">
        <f ca="1">'Графік погашення Multistep'!E11</f>
        <v>14309.887987683256</v>
      </c>
    </row>
    <row r="49" spans="2:3" x14ac:dyDescent="0.25">
      <c r="B49" s="45" t="s">
        <v>44</v>
      </c>
      <c r="C49" s="61">
        <f>'Графік погашення ануітет'!E11</f>
        <v>15432.655080305034</v>
      </c>
    </row>
    <row r="50" spans="2:3" hidden="1" x14ac:dyDescent="0.25">
      <c r="B50" s="55" t="s">
        <v>63</v>
      </c>
      <c r="C50" s="61">
        <f>IF('Графік погашення Тойота Легко'!E11&gt;0,'Графік погашення Тойота Легко'!E11,"-")</f>
        <v>9275.1149522224605</v>
      </c>
    </row>
    <row r="51" spans="2:3" x14ac:dyDescent="0.25"/>
    <row r="52" spans="2:3" x14ac:dyDescent="0.25"/>
    <row r="53" spans="2:3" x14ac:dyDescent="0.25"/>
    <row r="54" spans="2:3" x14ac:dyDescent="0.25"/>
    <row r="55" spans="2:3" x14ac:dyDescent="0.25"/>
  </sheetData>
  <sheetProtection algorithmName="SHA-512" hashValue="Z0ezCdAGJ0ijxmvBUq3W5uORJ5h5WbYT1XXq5LQX5zuORBx03aQaHigANu+jNRfYndmY/BRyWBi3gsBNr+VHhA==" saltValue="6+CoZtQ4TNuHkUlT0J5uLA==" spinCount="100000" sheet="1" objects="1" scenarios="1"/>
  <mergeCells count="3">
    <mergeCell ref="B8:C8"/>
    <mergeCell ref="A6:D6"/>
    <mergeCell ref="B30:C30"/>
  </mergeCells>
  <conditionalFormatting sqref="C16">
    <cfRule type="cellIs" dxfId="10" priority="13" operator="greaterThan">
      <formula>84</formula>
    </cfRule>
  </conditionalFormatting>
  <conditionalFormatting sqref="C20">
    <cfRule type="cellIs" dxfId="9" priority="11" operator="greaterThanOrEqual">
      <formula>$C$14</formula>
    </cfRule>
  </conditionalFormatting>
  <conditionalFormatting sqref="C26:C27 C39 C43">
    <cfRule type="cellIs" dxfId="8" priority="10" operator="lessThan">
      <formula>0</formula>
    </cfRule>
  </conditionalFormatting>
  <conditionalFormatting sqref="C32">
    <cfRule type="cellIs" dxfId="7" priority="5" operator="lessThan">
      <formula>0</formula>
    </cfRule>
  </conditionalFormatting>
  <conditionalFormatting sqref="C35">
    <cfRule type="cellIs" dxfId="6" priority="4" operator="lessThan">
      <formula>0</formula>
    </cfRule>
  </conditionalFormatting>
  <conditionalFormatting sqref="C18">
    <cfRule type="cellIs" dxfId="5" priority="3" operator="greaterThanOrEqual">
      <formula>$C$14</formula>
    </cfRule>
  </conditionalFormatting>
  <conditionalFormatting sqref="C29">
    <cfRule type="cellIs" dxfId="4" priority="1" operator="greaterThanOrEqual">
      <formula>$C$14</formula>
    </cfRule>
  </conditionalFormatting>
  <dataValidations disablePrompts="1" count="3">
    <dataValidation type="list" allowBlank="1" showInputMessage="1" showErrorMessage="1" sqref="C38 C42 C34">
      <formula1>"Ні,Так"</formula1>
    </dataValidation>
    <dataValidation type="list" allowBlank="1" showInputMessage="1" showErrorMessage="1" sqref="C31">
      <formula1>$F$31:$F$32</formula1>
    </dataValidation>
    <dataValidation type="list" allowBlank="1" showInputMessage="1" showErrorMessage="1" sqref="C29">
      <formula1>$L$26:$L$27</formula1>
    </dataValidation>
  </dataValidations>
  <printOptions horizontalCentered="1" verticalCentered="1"/>
  <pageMargins left="0" right="0" top="0" bottom="0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zoomScale="85" zoomScaleNormal="85" workbookViewId="0">
      <selection activeCell="C11" sqref="C11"/>
    </sheetView>
  </sheetViews>
  <sheetFormatPr defaultColWidth="0" defaultRowHeight="15" zeroHeight="1" x14ac:dyDescent="0.25"/>
  <cols>
    <col min="1" max="1" width="9.140625" style="2" customWidth="1"/>
    <col min="2" max="2" width="11.5703125" style="2" customWidth="1"/>
    <col min="3" max="3" width="22.5703125" style="2" customWidth="1"/>
    <col min="4" max="4" width="23.5703125" style="2" customWidth="1"/>
    <col min="5" max="5" width="18" style="2" customWidth="1"/>
    <col min="6" max="6" width="25.140625" style="2" customWidth="1"/>
    <col min="7" max="7" width="9.140625" style="2" customWidth="1"/>
    <col min="8" max="8" width="0" style="2" hidden="1" customWidth="1"/>
    <col min="9" max="9" width="10.140625" style="12" hidden="1" customWidth="1"/>
    <col min="10" max="16384" width="9.140625" style="2" hidden="1"/>
  </cols>
  <sheetData>
    <row r="1" spans="2:9" x14ac:dyDescent="0.25"/>
    <row r="2" spans="2:9" x14ac:dyDescent="0.25"/>
    <row r="3" spans="2:9" s="42" customFormat="1" x14ac:dyDescent="0.25">
      <c r="I3" s="43"/>
    </row>
    <row r="4" spans="2:9" x14ac:dyDescent="0.25"/>
    <row r="5" spans="2:9" x14ac:dyDescent="0.25"/>
    <row r="6" spans="2:9" x14ac:dyDescent="0.25"/>
    <row r="7" spans="2:9" ht="14.45" customHeight="1" x14ac:dyDescent="0.25">
      <c r="B7" s="70" t="s">
        <v>22</v>
      </c>
      <c r="C7" s="70"/>
      <c r="D7" s="70"/>
      <c r="E7" s="70"/>
      <c r="F7" s="53" t="s">
        <v>1</v>
      </c>
    </row>
    <row r="8" spans="2:9" ht="18.75" customHeight="1" x14ac:dyDescent="0.25">
      <c r="B8" s="70"/>
      <c r="C8" s="70"/>
      <c r="D8" s="70"/>
      <c r="E8" s="70"/>
      <c r="F8" s="54">
        <f>'Вхідні данні'!C26</f>
        <v>4.99E-2</v>
      </c>
      <c r="H8" s="2">
        <v>1</v>
      </c>
    </row>
    <row r="9" spans="2:9" x14ac:dyDescent="0.25">
      <c r="H9" s="2">
        <v>2</v>
      </c>
    </row>
    <row r="10" spans="2:9" ht="64.900000000000006" customHeight="1" x14ac:dyDescent="0.25">
      <c r="B10" s="4" t="s">
        <v>10</v>
      </c>
      <c r="C10" s="5" t="s">
        <v>11</v>
      </c>
      <c r="D10" s="4" t="s">
        <v>12</v>
      </c>
      <c r="E10" s="4" t="s">
        <v>13</v>
      </c>
      <c r="F10" s="4" t="s">
        <v>14</v>
      </c>
      <c r="H10" s="2">
        <v>3</v>
      </c>
      <c r="I10" s="12">
        <f ca="1">TODAY()</f>
        <v>44755</v>
      </c>
    </row>
    <row r="11" spans="2:9" x14ac:dyDescent="0.25">
      <c r="B11" s="6">
        <v>1</v>
      </c>
      <c r="C11" s="7">
        <f>IF(B11&lt;='Вхідні данні'!$C$16,'Вхідні данні'!$C$24/'Вхідні данні'!$C$16,0)</f>
        <v>14305.514027777777</v>
      </c>
      <c r="D11" s="7">
        <f ca="1">'Вхідні данні'!$C$24*'Вхідні данні'!$C$26/365*('Графік погашення стандартний'!I11-'Графік погашення стандартний'!I10)</f>
        <v>2182.6059928342465</v>
      </c>
      <c r="E11" s="8">
        <f ca="1">IF(B11&lt;='Вхідні данні'!$C$16,C11+D11,0)</f>
        <v>16488.120020612023</v>
      </c>
      <c r="F11" s="7">
        <f>'Вхідні данні'!$C$24-C11:C12</f>
        <v>500692.99097222224</v>
      </c>
      <c r="H11" s="2">
        <v>4</v>
      </c>
      <c r="I11" s="12">
        <f ca="1">IF(DAY(TODAY())&gt;DAY(DATE(YEAR(TODAY()),MONTH(TODAY())+H8+1,1)-1),DATE(YEAR(TODAY()),MONTH(TODAY())+H8+1,1)-1,DATE(YEAR(TODAY()),MONTH(TODAY())+H8,DAY(TODAY())))</f>
        <v>44786</v>
      </c>
    </row>
    <row r="12" spans="2:9" x14ac:dyDescent="0.25">
      <c r="B12" s="6">
        <v>2</v>
      </c>
      <c r="C12" s="7">
        <f>IF(B12&lt;='Вхідні данні'!$C$16,'Вхідні данні'!$C$24/'Вхідні данні'!$C$16,0)</f>
        <v>14305.514027777777</v>
      </c>
      <c r="D12" s="7">
        <f ca="1">IF(B12&lt;='Вхідні данні'!$C$16,F11*'Вхідні данні'!$C$26/365*(I12-I11),0)</f>
        <v>2121.9780485888509</v>
      </c>
      <c r="E12" s="8">
        <f ca="1">IF(B12&lt;='Вхідні данні'!$C$16,C12+D12,0)</f>
        <v>16427.492076366627</v>
      </c>
      <c r="F12" s="7">
        <f>IF(B12&lt;='Вхідні данні'!$C$16,F11-C12:C13,0)</f>
        <v>486387.47694444447</v>
      </c>
      <c r="H12" s="2">
        <v>5</v>
      </c>
      <c r="I12" s="12">
        <f t="shared" ref="I12:I75" ca="1" si="0">IF(DAY(TODAY())&gt;DAY(DATE(YEAR(TODAY()),MONTH(TODAY())+H9+1,1)-1),DATE(YEAR(TODAY()),MONTH(TODAY())+H9+1,1)-1,DATE(YEAR(TODAY()),MONTH(TODAY())+H9,DAY(TODAY())))</f>
        <v>44817</v>
      </c>
    </row>
    <row r="13" spans="2:9" x14ac:dyDescent="0.25">
      <c r="B13" s="6">
        <v>3</v>
      </c>
      <c r="C13" s="7">
        <f>IF(B13&lt;='Вхідні данні'!$C$16,'Вхідні данні'!$C$24/'Вхідні данні'!$C$16,0)</f>
        <v>14305.514027777777</v>
      </c>
      <c r="D13" s="7">
        <f ca="1">IF(B13&lt;='Вхідні данні'!$C$16,F12*'Вхідні данні'!$C$26/365*(I13-I12),0)</f>
        <v>1994.8549396872147</v>
      </c>
      <c r="E13" s="8">
        <f ca="1">IF(B13&lt;='Вхідні данні'!$C$16,C13+D13,0)</f>
        <v>16300.368967464992</v>
      </c>
      <c r="F13" s="7">
        <f>IF(B13&lt;='Вхідні данні'!$C$16,F12-C13:C14,0)</f>
        <v>472081.9629166667</v>
      </c>
      <c r="H13" s="2">
        <v>6</v>
      </c>
      <c r="I13" s="12">
        <f t="shared" ca="1" si="0"/>
        <v>44847</v>
      </c>
    </row>
    <row r="14" spans="2:9" x14ac:dyDescent="0.25">
      <c r="B14" s="6">
        <v>4</v>
      </c>
      <c r="C14" s="7">
        <f>IF(B14&lt;='Вхідні данні'!$C$16,'Вхідні данні'!$C$24/'Вхідні данні'!$C$16,0)</f>
        <v>14305.514027777777</v>
      </c>
      <c r="D14" s="7">
        <f ca="1">IF(B14&lt;='Вхідні данні'!$C$16,F13*'Вхідні данні'!$C$26/365*(I14-I13),0)</f>
        <v>2000.7221600980595</v>
      </c>
      <c r="E14" s="8">
        <f ca="1">IF(B14&lt;='Вхідні данні'!$C$16,C14+D14,0)</f>
        <v>16306.236187875837</v>
      </c>
      <c r="F14" s="7">
        <f>IF(B14&lt;='Вхідні данні'!$C$16,F13-C14:C15,0)</f>
        <v>457776.44888888893</v>
      </c>
      <c r="H14" s="2">
        <v>7</v>
      </c>
      <c r="I14" s="12">
        <f t="shared" ca="1" si="0"/>
        <v>44878</v>
      </c>
    </row>
    <row r="15" spans="2:9" x14ac:dyDescent="0.25">
      <c r="B15" s="6">
        <v>5</v>
      </c>
      <c r="C15" s="7">
        <f>IF(B15&lt;='Вхідні данні'!$C$16,'Вхідні данні'!$C$24/'Вхідні данні'!$C$16,0)</f>
        <v>14305.514027777777</v>
      </c>
      <c r="D15" s="7">
        <f ca="1">IF(B15&lt;='Вхідні данні'!$C$16,F14*'Вхідні данні'!$C$26/365*(I15-I14),0)</f>
        <v>1877.5105314703198</v>
      </c>
      <c r="E15" s="8">
        <f ca="1">IF(B15&lt;='Вхідні данні'!$C$16,C15+D15,0)</f>
        <v>16183.024559248097</v>
      </c>
      <c r="F15" s="7">
        <f>IF(B15&lt;='Вхідні данні'!$C$16,F14-C15:C16,0)</f>
        <v>443470.93486111116</v>
      </c>
      <c r="H15" s="2">
        <v>8</v>
      </c>
      <c r="I15" s="12">
        <f t="shared" ca="1" si="0"/>
        <v>44908</v>
      </c>
    </row>
    <row r="16" spans="2:9" x14ac:dyDescent="0.25">
      <c r="B16" s="6">
        <v>6</v>
      </c>
      <c r="C16" s="7">
        <f>IF(B16&lt;='Вхідні данні'!$C$16,'Вхідні данні'!$C$24/'Вхідні данні'!$C$16,0)</f>
        <v>14305.514027777777</v>
      </c>
      <c r="D16" s="7">
        <f ca="1">IF(B16&lt;='Вхідні данні'!$C$16,F15*'Вхідні данні'!$C$26/365*(I16-I15),0)</f>
        <v>1879.466271607268</v>
      </c>
      <c r="E16" s="8">
        <f ca="1">IF(B16&lt;='Вхідні данні'!$C$16,C16+D16,0)</f>
        <v>16184.980299385046</v>
      </c>
      <c r="F16" s="7">
        <f>IF(B16&lt;='Вхідні данні'!$C$16,F15-C16:C17,0)</f>
        <v>429165.4208333334</v>
      </c>
      <c r="H16" s="2">
        <v>9</v>
      </c>
      <c r="I16" s="12">
        <f t="shared" ca="1" si="0"/>
        <v>44939</v>
      </c>
    </row>
    <row r="17" spans="2:9" x14ac:dyDescent="0.25">
      <c r="B17" s="6">
        <v>7</v>
      </c>
      <c r="C17" s="7">
        <f>IF(B17&lt;='Вхідні данні'!$C$16,'Вхідні данні'!$C$24/'Вхідні данні'!$C$16,0)</f>
        <v>14305.514027777777</v>
      </c>
      <c r="D17" s="7">
        <f ca="1">IF(B17&lt;='Вхідні данні'!$C$16,F16*'Вхідні данні'!$C$26/365*(I17-I16),0)</f>
        <v>1818.8383273618724</v>
      </c>
      <c r="E17" s="8">
        <f ca="1">IF(B17&lt;='Вхідні данні'!$C$16,C17+D17,0)</f>
        <v>16124.35235513965</v>
      </c>
      <c r="F17" s="7">
        <f>IF(B17&lt;='Вхідні данні'!$C$16,F16-C17:C18,0)</f>
        <v>414859.90680555563</v>
      </c>
      <c r="H17" s="2">
        <v>10</v>
      </c>
      <c r="I17" s="12">
        <f t="shared" ca="1" si="0"/>
        <v>44970</v>
      </c>
    </row>
    <row r="18" spans="2:9" x14ac:dyDescent="0.25">
      <c r="B18" s="6">
        <v>8</v>
      </c>
      <c r="C18" s="7">
        <f>IF(B18&lt;='Вхідні данні'!$C$16,'Вхідні данні'!$C$24/'Вхідні данні'!$C$16,0)</f>
        <v>14305.514027777777</v>
      </c>
      <c r="D18" s="7">
        <f ca="1">IF(B18&lt;='Вхідні данні'!$C$16,F17*'Вхідні данні'!$C$26/365*(I18-I17),0)</f>
        <v>1588.0609912019788</v>
      </c>
      <c r="E18" s="8">
        <f ca="1">IF(B18&lt;='Вхідні данні'!$C$16,C18+D18,0)</f>
        <v>15893.575018979756</v>
      </c>
      <c r="F18" s="7">
        <f>IF(B18&lt;='Вхідні данні'!$C$16,F17-C18:C19,0)</f>
        <v>400554.39277777786</v>
      </c>
      <c r="H18" s="2">
        <v>11</v>
      </c>
      <c r="I18" s="12">
        <f t="shared" ca="1" si="0"/>
        <v>44998</v>
      </c>
    </row>
    <row r="19" spans="2:9" x14ac:dyDescent="0.25">
      <c r="B19" s="6">
        <v>9</v>
      </c>
      <c r="C19" s="7">
        <f>IF(B19&lt;='Вхідні данні'!$C$16,'Вхідні данні'!$C$24/'Вхідні данні'!$C$16,0)</f>
        <v>14305.514027777777</v>
      </c>
      <c r="D19" s="7">
        <f ca="1">IF(B19&lt;='Вхідні данні'!$C$16,F18*'Вхідні данні'!$C$26/365*(I19-I18),0)</f>
        <v>1697.5824388710807</v>
      </c>
      <c r="E19" s="8">
        <f ca="1">IF(B19&lt;='Вхідні данні'!$C$16,C19+D19,0)</f>
        <v>16003.096466648858</v>
      </c>
      <c r="F19" s="7">
        <f>IF(B19&lt;='Вхідні данні'!$C$16,F18-C19:C20,0)</f>
        <v>386248.87875000009</v>
      </c>
      <c r="H19" s="2">
        <v>12</v>
      </c>
      <c r="I19" s="12">
        <f t="shared" ca="1" si="0"/>
        <v>45029</v>
      </c>
    </row>
    <row r="20" spans="2:9" x14ac:dyDescent="0.25">
      <c r="B20" s="6">
        <v>10</v>
      </c>
      <c r="C20" s="7">
        <f>IF(B20&lt;='Вхідні данні'!$C$16,'Вхідні данні'!$C$24/'Вхідні данні'!$C$16,0)</f>
        <v>14305.514027777777</v>
      </c>
      <c r="D20" s="7">
        <f ca="1">IF(B20&lt;='Вхідні данні'!$C$16,F19*'Вхідні данні'!$C$26/365*(I20-I19),0)</f>
        <v>1584.1495109280827</v>
      </c>
      <c r="E20" s="8">
        <f ca="1">IF(B20&lt;='Вхідні данні'!$C$16,C20+D20,0)</f>
        <v>15889.66353870586</v>
      </c>
      <c r="F20" s="7">
        <f>IF(B20&lt;='Вхідні данні'!$C$16,F19-C20:C21,0)</f>
        <v>371943.36472222232</v>
      </c>
      <c r="H20" s="2">
        <v>13</v>
      </c>
      <c r="I20" s="12">
        <f t="shared" ca="1" si="0"/>
        <v>45059</v>
      </c>
    </row>
    <row r="21" spans="2:9" x14ac:dyDescent="0.25">
      <c r="B21" s="6">
        <v>11</v>
      </c>
      <c r="C21" s="7">
        <f>IF(B21&lt;='Вхідні данні'!$C$16,'Вхідні данні'!$C$24/'Вхідні данні'!$C$16,0)</f>
        <v>14305.514027777777</v>
      </c>
      <c r="D21" s="7">
        <f ca="1">IF(B21&lt;='Вхідні данні'!$C$16,F20*'Вхідні данні'!$C$26/365*(I21-I20),0)</f>
        <v>1576.3265503802897</v>
      </c>
      <c r="E21" s="8">
        <f ca="1">IF(B21&lt;='Вхідні данні'!$C$16,C21+D21,0)</f>
        <v>15881.840578158068</v>
      </c>
      <c r="F21" s="7">
        <f>IF(B21&lt;='Вхідні данні'!$C$16,F20-C21:C22,0)</f>
        <v>357637.85069444455</v>
      </c>
      <c r="H21" s="2">
        <v>14</v>
      </c>
      <c r="I21" s="12">
        <f t="shared" ca="1" si="0"/>
        <v>45090</v>
      </c>
    </row>
    <row r="22" spans="2:9" x14ac:dyDescent="0.25">
      <c r="B22" s="6">
        <v>12</v>
      </c>
      <c r="C22" s="7">
        <f>IF(B22&lt;='Вхідні данні'!$C$16,'Вхідні данні'!$C$24/'Вхідні данні'!$C$16,0)</f>
        <v>14305.514027777777</v>
      </c>
      <c r="D22" s="7">
        <f ca="1">IF(B22&lt;='Вхідні данні'!$C$16,F21*'Вхідні данні'!$C$26/365*(I22-I21),0)</f>
        <v>1466.8051027111876</v>
      </c>
      <c r="E22" s="8">
        <f ca="1">IF(B22&lt;='Вхідні данні'!$C$16,C22+D22,0)</f>
        <v>15772.319130488964</v>
      </c>
      <c r="F22" s="7">
        <f>IF(B22&lt;='Вхідні данні'!$C$16,F21-C22:C23,0)</f>
        <v>343332.33666666679</v>
      </c>
      <c r="H22" s="2">
        <v>15</v>
      </c>
      <c r="I22" s="12">
        <f t="shared" ca="1" si="0"/>
        <v>45120</v>
      </c>
    </row>
    <row r="23" spans="2:9" x14ac:dyDescent="0.25">
      <c r="B23" s="6">
        <v>13</v>
      </c>
      <c r="C23" s="7">
        <f>IF(B23&lt;='Вхідні данні'!$C$16,'Вхідні данні'!$C$24/'Вхідні данні'!$C$16,0)</f>
        <v>14305.514027777777</v>
      </c>
      <c r="D23" s="7">
        <f ca="1">IF(B23&lt;='Вхідні данні'!$C$16,F22*'Вхідні данні'!$C$26/365*(I23-I22),0)</f>
        <v>1455.0706618894983</v>
      </c>
      <c r="E23" s="8">
        <f ca="1">IF(B23&lt;='Вхідні данні'!$C$16,C23+D23,0)</f>
        <v>15760.584689667276</v>
      </c>
      <c r="F23" s="7">
        <f>IF(B23&lt;='Вхідні данні'!$C$16,F22-C23:C24,0)</f>
        <v>329026.82263888902</v>
      </c>
      <c r="H23" s="2">
        <v>16</v>
      </c>
      <c r="I23" s="12">
        <f t="shared" ca="1" si="0"/>
        <v>45151</v>
      </c>
    </row>
    <row r="24" spans="2:9" x14ac:dyDescent="0.25">
      <c r="B24" s="6">
        <v>14</v>
      </c>
      <c r="C24" s="7">
        <f>IF(B24&lt;='Вхідні данні'!$C$16,'Вхідні данні'!$C$24/'Вхідні данні'!$C$16,0)</f>
        <v>14305.514027777777</v>
      </c>
      <c r="D24" s="7">
        <f ca="1">IF(B24&lt;='Вхідні данні'!$C$16,F23*'Вхідні данні'!$C$26/365*(I24-I23),0)</f>
        <v>1394.4427176441025</v>
      </c>
      <c r="E24" s="8">
        <f ca="1">IF(B24&lt;='Вхідні данні'!$C$16,C24+D24,0)</f>
        <v>15699.95674542188</v>
      </c>
      <c r="F24" s="7">
        <f>IF(B24&lt;='Вхідні данні'!$C$16,F23-C24:C25,0)</f>
        <v>314721.30861111125</v>
      </c>
      <c r="H24" s="2">
        <v>17</v>
      </c>
      <c r="I24" s="12">
        <f t="shared" ca="1" si="0"/>
        <v>45182</v>
      </c>
    </row>
    <row r="25" spans="2:9" x14ac:dyDescent="0.25">
      <c r="B25" s="6">
        <v>15</v>
      </c>
      <c r="C25" s="7">
        <f>IF(B25&lt;='Вхідні данні'!$C$16,'Вхідні данні'!$C$24/'Вхідні данні'!$C$16,0)</f>
        <v>14305.514027777777</v>
      </c>
      <c r="D25" s="7">
        <f ca="1">IF(B25&lt;='Вхідні данні'!$C$16,F24*'Вхідні данні'!$C$26/365*(I25-I24),0)</f>
        <v>1290.7884903858453</v>
      </c>
      <c r="E25" s="8">
        <f ca="1">IF(B25&lt;='Вхідні данні'!$C$16,C25+D25,0)</f>
        <v>15596.302518163622</v>
      </c>
      <c r="F25" s="7">
        <f>IF(B25&lt;='Вхідні данні'!$C$16,F24-C25:C26,0)</f>
        <v>300415.79458333348</v>
      </c>
      <c r="H25" s="2">
        <v>18</v>
      </c>
      <c r="I25" s="12">
        <f t="shared" ca="1" si="0"/>
        <v>45212</v>
      </c>
    </row>
    <row r="26" spans="2:9" x14ac:dyDescent="0.25">
      <c r="B26" s="6">
        <v>16</v>
      </c>
      <c r="C26" s="7">
        <f>IF(B26&lt;='Вхідні данні'!$C$16,'Вхідні данні'!$C$24/'Вхідні данні'!$C$16,0)</f>
        <v>14305.514027777777</v>
      </c>
      <c r="D26" s="7">
        <f ca="1">IF(B26&lt;='Вхідні данні'!$C$16,F25*'Вхідні данні'!$C$26/365*(I26-I25),0)</f>
        <v>1273.186829153311</v>
      </c>
      <c r="E26" s="8">
        <f ca="1">IF(B26&lt;='Вхідні данні'!$C$16,C26+D26,0)</f>
        <v>15578.700856931089</v>
      </c>
      <c r="F26" s="7">
        <f>IF(B26&lt;='Вхідні данні'!$C$16,F25-C26:C27,0)</f>
        <v>286110.28055555571</v>
      </c>
      <c r="H26" s="2">
        <v>19</v>
      </c>
      <c r="I26" s="12">
        <f t="shared" ca="1" si="0"/>
        <v>45243</v>
      </c>
    </row>
    <row r="27" spans="2:9" x14ac:dyDescent="0.25">
      <c r="B27" s="6">
        <v>17</v>
      </c>
      <c r="C27" s="7">
        <f>IF(B27&lt;='Вхідні данні'!$C$16,'Вхідні данні'!$C$24/'Вхідні данні'!$C$16,0)</f>
        <v>14305.514027777777</v>
      </c>
      <c r="D27" s="7">
        <f ca="1">IF(B27&lt;='Вхідні данні'!$C$16,F26*'Вхідні данні'!$C$26/365*(I27-I26),0)</f>
        <v>1173.4440821689504</v>
      </c>
      <c r="E27" s="8">
        <f ca="1">IF(B27&lt;='Вхідні данні'!$C$16,C27+D27,0)</f>
        <v>15478.958109946729</v>
      </c>
      <c r="F27" s="7">
        <f>IF(B27&lt;='Вхідні данні'!$C$16,F26-C27:C28,0)</f>
        <v>271804.76652777795</v>
      </c>
      <c r="H27" s="2">
        <v>20</v>
      </c>
      <c r="I27" s="12">
        <f t="shared" ca="1" si="0"/>
        <v>45273</v>
      </c>
    </row>
    <row r="28" spans="2:9" x14ac:dyDescent="0.25">
      <c r="B28" s="6">
        <v>18</v>
      </c>
      <c r="C28" s="7">
        <f>IF(B28&lt;='Вхідні данні'!$C$16,'Вхідні данні'!$C$24/'Вхідні данні'!$C$16,0)</f>
        <v>14305.514027777777</v>
      </c>
      <c r="D28" s="7">
        <f ca="1">IF(B28&lt;='Вхідні данні'!$C$16,F27*'Вхідні данні'!$C$26/365*(I28-I27),0)</f>
        <v>1151.9309406625198</v>
      </c>
      <c r="E28" s="8">
        <f ca="1">IF(B28&lt;='Вхідні данні'!$C$16,C28+D28,0)</f>
        <v>15457.444968440297</v>
      </c>
      <c r="F28" s="7">
        <f>IF(B28&lt;='Вхідні данні'!$C$16,F27-C28:C29,0)</f>
        <v>257499.25250000018</v>
      </c>
      <c r="H28" s="2">
        <v>21</v>
      </c>
      <c r="I28" s="12">
        <f t="shared" ca="1" si="0"/>
        <v>45304</v>
      </c>
    </row>
    <row r="29" spans="2:9" x14ac:dyDescent="0.25">
      <c r="B29" s="6">
        <v>19</v>
      </c>
      <c r="C29" s="7">
        <f>IF(B29&lt;='Вхідні данні'!$C$16,'Вхідні данні'!$C$24/'Вхідні данні'!$C$16,0)</f>
        <v>14305.514027777777</v>
      </c>
      <c r="D29" s="7">
        <f ca="1">IF(B29&lt;='Вхідні данні'!$C$16,F28*'Вхідні данні'!$C$26/365*(I29-I28),0)</f>
        <v>1091.3029964171239</v>
      </c>
      <c r="E29" s="8">
        <f ca="1">IF(B29&lt;='Вхідні данні'!$C$16,C29+D29,0)</f>
        <v>15396.817024194901</v>
      </c>
      <c r="F29" s="7">
        <f>IF(B29&lt;='Вхідні данні'!$C$16,F28-C29:C30,0)</f>
        <v>243193.73847222241</v>
      </c>
      <c r="H29" s="2">
        <v>22</v>
      </c>
      <c r="I29" s="12">
        <f t="shared" ca="1" si="0"/>
        <v>45335</v>
      </c>
    </row>
    <row r="30" spans="2:9" x14ac:dyDescent="0.25">
      <c r="B30" s="6">
        <v>20</v>
      </c>
      <c r="C30" s="7">
        <f>IF(B30&lt;='Вхідні данні'!$C$16,'Вхідні данні'!$C$24/'Вхідні данні'!$C$16,0)</f>
        <v>14305.514027777777</v>
      </c>
      <c r="D30" s="7">
        <f ca="1">IF(B30&lt;='Вхідні данні'!$C$16,F29*'Вхідні данні'!$C$26/365*(I30-I29),0)</f>
        <v>964.17988751548774</v>
      </c>
      <c r="E30" s="8">
        <f ca="1">IF(B30&lt;='Вхідні данні'!$C$16,C30+D30,0)</f>
        <v>15269.693915293265</v>
      </c>
      <c r="F30" s="7">
        <f>IF(B30&lt;='Вхідні данні'!$C$16,F29-C30:C31,0)</f>
        <v>228888.22444444464</v>
      </c>
      <c r="H30" s="2">
        <v>23</v>
      </c>
      <c r="I30" s="12">
        <f t="shared" ca="1" si="0"/>
        <v>45364</v>
      </c>
    </row>
    <row r="31" spans="2:9" x14ac:dyDescent="0.25">
      <c r="B31" s="6">
        <v>21</v>
      </c>
      <c r="C31" s="7">
        <f>IF(B31&lt;='Вхідні данні'!$C$16,'Вхідні данні'!$C$24/'Вхідні данні'!$C$16,0)</f>
        <v>14305.514027777777</v>
      </c>
      <c r="D31" s="7">
        <f ca="1">IF(B31&lt;='Вхідні данні'!$C$16,F30*'Вхідні данні'!$C$26/365*(I31-I30),0)</f>
        <v>970.04710792633273</v>
      </c>
      <c r="E31" s="8">
        <f ca="1">IF(B31&lt;='Вхідні данні'!$C$16,C31+D31,0)</f>
        <v>15275.561135704111</v>
      </c>
      <c r="F31" s="7">
        <f>IF(B31&lt;='Вхідні данні'!$C$16,F30-C31:C32,0)</f>
        <v>214582.71041666687</v>
      </c>
      <c r="H31" s="2">
        <v>24</v>
      </c>
      <c r="I31" s="12">
        <f t="shared" ca="1" si="0"/>
        <v>45395</v>
      </c>
    </row>
    <row r="32" spans="2:9" x14ac:dyDescent="0.25">
      <c r="B32" s="6">
        <v>22</v>
      </c>
      <c r="C32" s="7">
        <f>IF(B32&lt;='Вхідні данні'!$C$16,'Вхідні данні'!$C$24/'Вхідні данні'!$C$16,0)</f>
        <v>14305.514027777777</v>
      </c>
      <c r="D32" s="7">
        <f ca="1">IF(B32&lt;='Вхідні данні'!$C$16,F31*'Вхідні данні'!$C$26/365*(I32-I31),0)</f>
        <v>880.08306162671317</v>
      </c>
      <c r="E32" s="8">
        <f ca="1">IF(B32&lt;='Вхідні данні'!$C$16,C32+D32,0)</f>
        <v>15185.597089404491</v>
      </c>
      <c r="F32" s="7">
        <f>IF(B32&lt;='Вхідні данні'!$C$16,F31-C32:C33,0)</f>
        <v>200277.1963888891</v>
      </c>
      <c r="H32" s="2">
        <v>25</v>
      </c>
      <c r="I32" s="12">
        <f t="shared" ca="1" si="0"/>
        <v>45425</v>
      </c>
    </row>
    <row r="33" spans="2:9" x14ac:dyDescent="0.25">
      <c r="B33" s="6">
        <v>23</v>
      </c>
      <c r="C33" s="7">
        <f>IF(B33&lt;='Вхідні данні'!$C$16,'Вхідні данні'!$C$24/'Вхідні данні'!$C$16,0)</f>
        <v>14305.514027777777</v>
      </c>
      <c r="D33" s="7">
        <f ca="1">IF(B33&lt;='Вхідні данні'!$C$16,F32*'Вхідні данні'!$C$26/365*(I33-I32),0)</f>
        <v>848.79121943554117</v>
      </c>
      <c r="E33" s="8">
        <f ca="1">IF(B33&lt;='Вхідні данні'!$C$16,C33+D33,0)</f>
        <v>15154.305247213319</v>
      </c>
      <c r="F33" s="7">
        <f>IF(B33&lt;='Вхідні данні'!$C$16,F32-C33:C34,0)</f>
        <v>185971.68236111134</v>
      </c>
      <c r="H33" s="2">
        <v>26</v>
      </c>
      <c r="I33" s="12">
        <f t="shared" ca="1" si="0"/>
        <v>45456</v>
      </c>
    </row>
    <row r="34" spans="2:9" x14ac:dyDescent="0.25">
      <c r="B34" s="6">
        <v>24</v>
      </c>
      <c r="C34" s="7">
        <f>IF(B34&lt;='Вхідні данні'!$C$16,'Вхідні данні'!$C$24/'Вхідні данні'!$C$16,0)</f>
        <v>14305.514027777777</v>
      </c>
      <c r="D34" s="7">
        <f ca="1">IF(B34&lt;='Вхідні данні'!$C$16,F33*'Вхідні данні'!$C$26/365*(I34-I33),0)</f>
        <v>762.7386534098182</v>
      </c>
      <c r="E34" s="8">
        <f ca="1">IF(B34&lt;='Вхідні данні'!$C$16,C34+D34,0)</f>
        <v>15068.252681187596</v>
      </c>
      <c r="F34" s="7">
        <f>IF(B34&lt;='Вхідні данні'!$C$16,F33-C34:C35,0)</f>
        <v>171666.16833333357</v>
      </c>
      <c r="H34" s="2">
        <v>27</v>
      </c>
      <c r="I34" s="12">
        <f t="shared" ca="1" si="0"/>
        <v>45486</v>
      </c>
    </row>
    <row r="35" spans="2:9" x14ac:dyDescent="0.25">
      <c r="B35" s="6">
        <v>25</v>
      </c>
      <c r="C35" s="7">
        <f>IF(B35&lt;='Вхідні данні'!$C$16,'Вхідні данні'!$C$24/'Вхідні данні'!$C$16,0)</f>
        <v>14305.514027777777</v>
      </c>
      <c r="D35" s="7">
        <f ca="1">IF(B35&lt;='Вхідні данні'!$C$16,F34*'Вхідні данні'!$C$26/365*(I35-I34),0)</f>
        <v>727.53533094474983</v>
      </c>
      <c r="E35" s="8">
        <f ca="1">IF(B35&lt;='Вхідні данні'!$C$16,C35+D35,0)</f>
        <v>15033.049358722526</v>
      </c>
      <c r="F35" s="7">
        <f>IF(B35&lt;='Вхідні данні'!$C$16,F34-C35:C36,0)</f>
        <v>157360.6543055558</v>
      </c>
      <c r="H35" s="2">
        <v>28</v>
      </c>
      <c r="I35" s="12">
        <f t="shared" ca="1" si="0"/>
        <v>45517</v>
      </c>
    </row>
    <row r="36" spans="2:9" x14ac:dyDescent="0.25">
      <c r="B36" s="6">
        <v>26</v>
      </c>
      <c r="C36" s="7">
        <f>IF(B36&lt;='Вхідні данні'!$C$16,'Вхідні данні'!$C$24/'Вхідні данні'!$C$16,0)</f>
        <v>14305.514027777777</v>
      </c>
      <c r="D36" s="7">
        <f ca="1">IF(B36&lt;='Вхідні данні'!$C$16,F35*'Вхідні данні'!$C$26/365*(I36-I35),0)</f>
        <v>666.90738669935411</v>
      </c>
      <c r="E36" s="8">
        <f ca="1">IF(B36&lt;='Вхідні данні'!$C$16,C36+D36,0)</f>
        <v>14972.421414477132</v>
      </c>
      <c r="F36" s="7">
        <f>IF(B36&lt;='Вхідні данні'!$C$16,F35-C36:C37,0)</f>
        <v>143055.14027777803</v>
      </c>
      <c r="H36" s="2">
        <v>29</v>
      </c>
      <c r="I36" s="12">
        <f t="shared" ca="1" si="0"/>
        <v>45548</v>
      </c>
    </row>
    <row r="37" spans="2:9" x14ac:dyDescent="0.25">
      <c r="B37" s="6">
        <v>27</v>
      </c>
      <c r="C37" s="7">
        <f>IF(B37&lt;='Вхідні данні'!$C$16,'Вхідні данні'!$C$24/'Вхідні данні'!$C$16,0)</f>
        <v>14305.514027777777</v>
      </c>
      <c r="D37" s="7">
        <f ca="1">IF(B37&lt;='Вхідні данні'!$C$16,F36*'Вхідні данні'!$C$26/365*(I37-I36),0)</f>
        <v>586.7220410844759</v>
      </c>
      <c r="E37" s="8">
        <f ca="1">IF(B37&lt;='Вхідні данні'!$C$16,C37+D37,0)</f>
        <v>14892.236068862254</v>
      </c>
      <c r="F37" s="7">
        <f>IF(B37&lt;='Вхідні данні'!$C$16,F36-C37:C38,0)</f>
        <v>128749.62625000025</v>
      </c>
      <c r="H37" s="2">
        <v>30</v>
      </c>
      <c r="I37" s="12">
        <f t="shared" ca="1" si="0"/>
        <v>45578</v>
      </c>
    </row>
    <row r="38" spans="2:9" x14ac:dyDescent="0.25">
      <c r="B38" s="6">
        <v>28</v>
      </c>
      <c r="C38" s="7">
        <f>IF(B38&lt;='Вхідні данні'!$C$16,'Вхідні данні'!$C$24/'Вхідні данні'!$C$16,0)</f>
        <v>14305.514027777777</v>
      </c>
      <c r="D38" s="7">
        <f ca="1">IF(B38&lt;='Вхідні данні'!$C$16,F37*'Вхідні данні'!$C$26/365*(I38-I37),0)</f>
        <v>545.65149820856266</v>
      </c>
      <c r="E38" s="8">
        <f ca="1">IF(B38&lt;='Вхідні данні'!$C$16,C38+D38,0)</f>
        <v>14851.16552598634</v>
      </c>
      <c r="F38" s="7">
        <f>IF(B38&lt;='Вхідні данні'!$C$16,F37-C38:C39,0)</f>
        <v>114444.11222222247</v>
      </c>
      <c r="H38" s="2">
        <v>31</v>
      </c>
      <c r="I38" s="12">
        <f t="shared" ca="1" si="0"/>
        <v>45609</v>
      </c>
    </row>
    <row r="39" spans="2:9" x14ac:dyDescent="0.25">
      <c r="B39" s="6">
        <v>29</v>
      </c>
      <c r="C39" s="7">
        <f>IF(B39&lt;='Вхідні данні'!$C$16,'Вхідні данні'!$C$24/'Вхідні данні'!$C$16,0)</f>
        <v>14305.514027777777</v>
      </c>
      <c r="D39" s="7">
        <f ca="1">IF(B39&lt;='Вхідні данні'!$C$16,F38*'Вхідні данні'!$C$26/365*(I39-I38),0)</f>
        <v>469.37763286758087</v>
      </c>
      <c r="E39" s="8">
        <f ca="1">IF(B39&lt;='Вхідні данні'!$C$16,C39+D39,0)</f>
        <v>14774.891660645359</v>
      </c>
      <c r="F39" s="7">
        <f>IF(B39&lt;='Вхідні данні'!$C$16,F38-C39:C40,0)</f>
        <v>100138.59819444468</v>
      </c>
      <c r="H39" s="2">
        <v>32</v>
      </c>
      <c r="I39" s="12">
        <f t="shared" ca="1" si="0"/>
        <v>45639</v>
      </c>
    </row>
    <row r="40" spans="2:9" x14ac:dyDescent="0.25">
      <c r="B40" s="6">
        <v>30</v>
      </c>
      <c r="C40" s="7">
        <f>IF(B40&lt;='Вхідні данні'!$C$16,'Вхідні данні'!$C$24/'Вхідні данні'!$C$16,0)</f>
        <v>14305.514027777777</v>
      </c>
      <c r="D40" s="7">
        <f ca="1">IF(B40&lt;='Вхідні данні'!$C$16,F39*'Вхідні данні'!$C$26/365*(I40-I39),0)</f>
        <v>424.39560971777115</v>
      </c>
      <c r="E40" s="8">
        <f ca="1">IF(B40&lt;='Вхідні данні'!$C$16,C40+D40,0)</f>
        <v>14729.909637495548</v>
      </c>
      <c r="F40" s="7">
        <f>IF(B40&lt;='Вхідні данні'!$C$16,F39-C40:C41,0)</f>
        <v>85833.0841666669</v>
      </c>
      <c r="H40" s="2">
        <v>33</v>
      </c>
      <c r="I40" s="12">
        <f t="shared" ca="1" si="0"/>
        <v>45670</v>
      </c>
    </row>
    <row r="41" spans="2:9" x14ac:dyDescent="0.25">
      <c r="B41" s="6">
        <v>31</v>
      </c>
      <c r="C41" s="7">
        <f>IF(B41&lt;='Вхідні данні'!$C$16,'Вхідні данні'!$C$24/'Вхідні данні'!$C$16,0)</f>
        <v>14305.514027777777</v>
      </c>
      <c r="D41" s="7">
        <f ca="1">IF(B41&lt;='Вхідні данні'!$C$16,F40*'Вхідні данні'!$C$26/365*(I41-I40),0)</f>
        <v>363.76766547237543</v>
      </c>
      <c r="E41" s="8">
        <f ca="1">IF(B41&lt;='Вхідні данні'!$C$16,C41+D41,0)</f>
        <v>14669.281693250152</v>
      </c>
      <c r="F41" s="7">
        <f>IF(B41&lt;='Вхідні данні'!$C$16,F40-C41:C42,0)</f>
        <v>71527.570138889118</v>
      </c>
      <c r="H41" s="2">
        <v>34</v>
      </c>
      <c r="I41" s="12">
        <f t="shared" ca="1" si="0"/>
        <v>45701</v>
      </c>
    </row>
    <row r="42" spans="2:9" x14ac:dyDescent="0.25">
      <c r="B42" s="6">
        <v>32</v>
      </c>
      <c r="C42" s="7">
        <f>IF(B42&lt;='Вхідні данні'!$C$16,'Вхідні данні'!$C$24/'Вхідні данні'!$C$16,0)</f>
        <v>14305.514027777777</v>
      </c>
      <c r="D42" s="7">
        <f ca="1">IF(B42&lt;='Вхідні данні'!$C$16,F41*'Вхідні данні'!$C$26/365*(I42-I41),0)</f>
        <v>273.80361917275582</v>
      </c>
      <c r="E42" s="8">
        <f ca="1">IF(B42&lt;='Вхідні данні'!$C$16,C42+D42,0)</f>
        <v>14579.317646950532</v>
      </c>
      <c r="F42" s="7">
        <f>IF(B42&lt;='Вхідні данні'!$C$16,F41-C42:C43,0)</f>
        <v>57222.056111111342</v>
      </c>
      <c r="H42" s="2">
        <v>35</v>
      </c>
      <c r="I42" s="12">
        <f t="shared" ca="1" si="0"/>
        <v>45729</v>
      </c>
    </row>
    <row r="43" spans="2:9" x14ac:dyDescent="0.25">
      <c r="B43" s="6">
        <v>33</v>
      </c>
      <c r="C43" s="7">
        <f>IF(B43&lt;='Вхідні данні'!$C$16,'Вхідні данні'!$C$24/'Вхідні данні'!$C$16,0)</f>
        <v>14305.514027777777</v>
      </c>
      <c r="D43" s="7">
        <f ca="1">IF(B43&lt;='Вхідні данні'!$C$16,F42*'Вхідні данні'!$C$26/365*(I43-I42),0)</f>
        <v>242.51177698158392</v>
      </c>
      <c r="E43" s="8">
        <f ca="1">IF(B43&lt;='Вхідні данні'!$C$16,C43+D43,0)</f>
        <v>14548.025804759362</v>
      </c>
      <c r="F43" s="7">
        <f>IF(B43&lt;='Вхідні данні'!$C$16,F42-C43:C44,0)</f>
        <v>42916.542083333567</v>
      </c>
      <c r="H43" s="2">
        <v>36</v>
      </c>
      <c r="I43" s="12">
        <f t="shared" ca="1" si="0"/>
        <v>45760</v>
      </c>
    </row>
    <row r="44" spans="2:9" x14ac:dyDescent="0.25">
      <c r="B44" s="6">
        <v>34</v>
      </c>
      <c r="C44" s="7">
        <f>IF(B44&lt;='Вхідні данні'!$C$16,'Вхідні данні'!$C$24/'Вхідні данні'!$C$16,0)</f>
        <v>14305.514027777777</v>
      </c>
      <c r="D44" s="7">
        <f ca="1">IF(B44&lt;='Вхідні данні'!$C$16,F43*'Вхідні данні'!$C$26/365*(I44-I43),0)</f>
        <v>176.01661232534343</v>
      </c>
      <c r="E44" s="8">
        <f ca="1">IF(B44&lt;='Вхідні данні'!$C$16,C44+D44,0)</f>
        <v>14481.530640103121</v>
      </c>
      <c r="F44" s="7">
        <f>IF(B44&lt;='Вхідні данні'!$C$16,F43-C44:C45,0)</f>
        <v>28611.028055555791</v>
      </c>
      <c r="H44" s="2">
        <v>37</v>
      </c>
      <c r="I44" s="12">
        <f t="shared" ca="1" si="0"/>
        <v>45790</v>
      </c>
    </row>
    <row r="45" spans="2:9" x14ac:dyDescent="0.25">
      <c r="B45" s="6">
        <v>35</v>
      </c>
      <c r="C45" s="7">
        <f>IF(B45&lt;='Вхідні данні'!$C$16,'Вхідні данні'!$C$24/'Вхідні данні'!$C$16,0)</f>
        <v>14305.514027777777</v>
      </c>
      <c r="D45" s="7">
        <f ca="1">IF(B45&lt;='Вхідні данні'!$C$16,F44*'Вхідні данні'!$C$26/365*(I45-I44),0)</f>
        <v>121.25588849079249</v>
      </c>
      <c r="E45" s="8">
        <f ca="1">IF(B45&lt;='Вхідні данні'!$C$16,C45+D45,0)</f>
        <v>14426.769916268569</v>
      </c>
      <c r="F45" s="7">
        <f>IF(B45&lt;='Вхідні данні'!$C$16,F44-C45:C46,0)</f>
        <v>14305.514027778014</v>
      </c>
      <c r="H45" s="2">
        <v>38</v>
      </c>
      <c r="I45" s="12">
        <f t="shared" ca="1" si="0"/>
        <v>45821</v>
      </c>
    </row>
    <row r="46" spans="2:9" x14ac:dyDescent="0.25">
      <c r="B46" s="6">
        <v>36</v>
      </c>
      <c r="C46" s="7">
        <f>IF(B46&lt;='Вхідні данні'!$C$16,'Вхідні данні'!$C$24/'Вхідні данні'!$C$16,0)</f>
        <v>14305.514027777777</v>
      </c>
      <c r="D46" s="7">
        <f ca="1">IF(B46&lt;='Вхідні данні'!$C$16,F45*'Вхідні данні'!$C$26/365*(I46-I45),0)</f>
        <v>58.672204108448462</v>
      </c>
      <c r="E46" s="8">
        <f ca="1">IF(B46&lt;='Вхідні данні'!$C$16,C46+D46,0)</f>
        <v>14364.186231886226</v>
      </c>
      <c r="F46" s="7">
        <f>IF(B46&lt;='Вхідні данні'!$C$16,F45-C46:C47,0)</f>
        <v>2.3646862246096134E-10</v>
      </c>
      <c r="H46" s="2">
        <v>39</v>
      </c>
      <c r="I46" s="12">
        <f t="shared" ca="1" si="0"/>
        <v>45851</v>
      </c>
    </row>
    <row r="47" spans="2:9" x14ac:dyDescent="0.25">
      <c r="B47" s="6">
        <v>37</v>
      </c>
      <c r="C47" s="7">
        <f>IF(B47&lt;='Вхідні данні'!$C$16,'Вхідні данні'!$C$24/'Вхідні данні'!$C$16,0)</f>
        <v>0</v>
      </c>
      <c r="D47" s="7">
        <f>IF(B47&lt;='Вхідні данні'!$C$16,F46*'Вхідні данні'!$C$26/365*(I47-I46),0)</f>
        <v>0</v>
      </c>
      <c r="E47" s="8">
        <f>IF(B47&lt;='Вхідні данні'!$C$16,C47+D47,0)</f>
        <v>0</v>
      </c>
      <c r="F47" s="7">
        <f>IF(B47&lt;='Вхідні данні'!$C$16,F46-C47:C48,0)</f>
        <v>0</v>
      </c>
      <c r="H47" s="2">
        <v>40</v>
      </c>
      <c r="I47" s="12">
        <f t="shared" ca="1" si="0"/>
        <v>45882</v>
      </c>
    </row>
    <row r="48" spans="2:9" x14ac:dyDescent="0.25">
      <c r="B48" s="6">
        <v>38</v>
      </c>
      <c r="C48" s="7">
        <f>IF(B48&lt;='Вхідні данні'!$C$16,'Вхідні данні'!$C$24/'Вхідні данні'!$C$16,0)</f>
        <v>0</v>
      </c>
      <c r="D48" s="7">
        <f>IF(B48&lt;='Вхідні данні'!$C$16,F47*'Вхідні данні'!$C$26/365*(I48-I47),0)</f>
        <v>0</v>
      </c>
      <c r="E48" s="8">
        <f>IF(B48&lt;='Вхідні данні'!$C$16,C48+D48,0)</f>
        <v>0</v>
      </c>
      <c r="F48" s="7">
        <f>IF(B48&lt;='Вхідні данні'!$C$16,F47-C48:C49,0)</f>
        <v>0</v>
      </c>
      <c r="H48" s="2">
        <v>41</v>
      </c>
      <c r="I48" s="12">
        <f t="shared" ca="1" si="0"/>
        <v>45913</v>
      </c>
    </row>
    <row r="49" spans="2:9" x14ac:dyDescent="0.25">
      <c r="B49" s="6">
        <v>39</v>
      </c>
      <c r="C49" s="7">
        <f>IF(B49&lt;='Вхідні данні'!$C$16,'Вхідні данні'!$C$24/'Вхідні данні'!$C$16,0)</f>
        <v>0</v>
      </c>
      <c r="D49" s="7">
        <f>IF(B49&lt;='Вхідні данні'!$C$16,F48*'Вхідні данні'!$C$26/365*(I49-I48),0)</f>
        <v>0</v>
      </c>
      <c r="E49" s="8">
        <f>IF(B49&lt;='Вхідні данні'!$C$16,C49+D49,0)</f>
        <v>0</v>
      </c>
      <c r="F49" s="7">
        <f>IF(B49&lt;='Вхідні данні'!$C$16,F48-C49:C50,0)</f>
        <v>0</v>
      </c>
      <c r="H49" s="2">
        <v>42</v>
      </c>
      <c r="I49" s="12">
        <f t="shared" ca="1" si="0"/>
        <v>45943</v>
      </c>
    </row>
    <row r="50" spans="2:9" x14ac:dyDescent="0.25">
      <c r="B50" s="6">
        <v>40</v>
      </c>
      <c r="C50" s="7">
        <f>IF(B50&lt;='Вхідні данні'!$C$16,'Вхідні данні'!$C$24/'Вхідні данні'!$C$16,0)</f>
        <v>0</v>
      </c>
      <c r="D50" s="7">
        <f>IF(B50&lt;='Вхідні данні'!$C$16,F49*'Вхідні данні'!$C$26/365*(I50-I49),0)</f>
        <v>0</v>
      </c>
      <c r="E50" s="8">
        <f>IF(B50&lt;='Вхідні данні'!$C$16,C50+D50,0)</f>
        <v>0</v>
      </c>
      <c r="F50" s="7">
        <f>IF(B50&lt;='Вхідні данні'!$C$16,F49-C50:C51,0)</f>
        <v>0</v>
      </c>
      <c r="H50" s="2">
        <v>43</v>
      </c>
      <c r="I50" s="12">
        <f t="shared" ca="1" si="0"/>
        <v>45974</v>
      </c>
    </row>
    <row r="51" spans="2:9" x14ac:dyDescent="0.25">
      <c r="B51" s="6">
        <v>41</v>
      </c>
      <c r="C51" s="7">
        <f>IF(B51&lt;='Вхідні данні'!$C$16,'Вхідні данні'!$C$24/'Вхідні данні'!$C$16,0)</f>
        <v>0</v>
      </c>
      <c r="D51" s="7">
        <f>IF(B51&lt;='Вхідні данні'!$C$16,F50*'Вхідні данні'!$C$26/365*(I51-I50),0)</f>
        <v>0</v>
      </c>
      <c r="E51" s="8">
        <f>IF(B51&lt;='Вхідні данні'!$C$16,C51+D51,0)</f>
        <v>0</v>
      </c>
      <c r="F51" s="7">
        <f>IF(B51&lt;='Вхідні данні'!$C$16,F50-C51:C52,0)</f>
        <v>0</v>
      </c>
      <c r="H51" s="2">
        <v>44</v>
      </c>
      <c r="I51" s="12">
        <f t="shared" ca="1" si="0"/>
        <v>46004</v>
      </c>
    </row>
    <row r="52" spans="2:9" x14ac:dyDescent="0.25">
      <c r="B52" s="6">
        <v>42</v>
      </c>
      <c r="C52" s="7">
        <f>IF(B52&lt;='Вхідні данні'!$C$16,'Вхідні данні'!$C$24/'Вхідні данні'!$C$16,0)</f>
        <v>0</v>
      </c>
      <c r="D52" s="7">
        <f>IF(B52&lt;='Вхідні данні'!$C$16,F51*'Вхідні данні'!$C$26/365*(I52-I51),0)</f>
        <v>0</v>
      </c>
      <c r="E52" s="8">
        <f>IF(B52&lt;='Вхідні данні'!$C$16,C52+D52,0)</f>
        <v>0</v>
      </c>
      <c r="F52" s="7">
        <f>IF(B52&lt;='Вхідні данні'!$C$16,F51-C52:C53,0)</f>
        <v>0</v>
      </c>
      <c r="H52" s="2">
        <v>45</v>
      </c>
      <c r="I52" s="12">
        <f t="shared" ca="1" si="0"/>
        <v>46035</v>
      </c>
    </row>
    <row r="53" spans="2:9" x14ac:dyDescent="0.25">
      <c r="B53" s="6">
        <v>43</v>
      </c>
      <c r="C53" s="7">
        <f>IF(B53&lt;='Вхідні данні'!$C$16,'Вхідні данні'!$C$24/'Вхідні данні'!$C$16,0)</f>
        <v>0</v>
      </c>
      <c r="D53" s="7">
        <f>IF(B53&lt;='Вхідні данні'!$C$16,F52*'Вхідні данні'!$C$26/365*(I53-I52),0)</f>
        <v>0</v>
      </c>
      <c r="E53" s="8">
        <f>IF(B53&lt;='Вхідні данні'!$C$16,C53+D53,0)</f>
        <v>0</v>
      </c>
      <c r="F53" s="7">
        <f>IF(B53&lt;='Вхідні данні'!$C$16,F52-C53:C54,0)</f>
        <v>0</v>
      </c>
      <c r="H53" s="2">
        <v>46</v>
      </c>
      <c r="I53" s="12">
        <f t="shared" ca="1" si="0"/>
        <v>46066</v>
      </c>
    </row>
    <row r="54" spans="2:9" x14ac:dyDescent="0.25">
      <c r="B54" s="6">
        <v>44</v>
      </c>
      <c r="C54" s="7">
        <f>IF(B54&lt;='Вхідні данні'!$C$16,'Вхідні данні'!$C$24/'Вхідні данні'!$C$16,0)</f>
        <v>0</v>
      </c>
      <c r="D54" s="7">
        <f>IF(B54&lt;='Вхідні данні'!$C$16,F53*'Вхідні данні'!$C$26/365*(I54-I53),0)</f>
        <v>0</v>
      </c>
      <c r="E54" s="8">
        <f>IF(B54&lt;='Вхідні данні'!$C$16,C54+D54,0)</f>
        <v>0</v>
      </c>
      <c r="F54" s="7">
        <f>IF(B54&lt;='Вхідні данні'!$C$16,F53-C54:C55,0)</f>
        <v>0</v>
      </c>
      <c r="H54" s="2">
        <v>47</v>
      </c>
      <c r="I54" s="12">
        <f t="shared" ca="1" si="0"/>
        <v>46094</v>
      </c>
    </row>
    <row r="55" spans="2:9" x14ac:dyDescent="0.25">
      <c r="B55" s="6">
        <v>45</v>
      </c>
      <c r="C55" s="7">
        <f>IF(B55&lt;='Вхідні данні'!$C$16,'Вхідні данні'!$C$24/'Вхідні данні'!$C$16,0)</f>
        <v>0</v>
      </c>
      <c r="D55" s="7">
        <f>IF(B55&lt;='Вхідні данні'!$C$16,F54*'Вхідні данні'!$C$26/365*(I55-I54),0)</f>
        <v>0</v>
      </c>
      <c r="E55" s="8">
        <f>IF(B55&lt;='Вхідні данні'!$C$16,C55+D55,0)</f>
        <v>0</v>
      </c>
      <c r="F55" s="7">
        <f>IF(B55&lt;='Вхідні данні'!$C$16,F54-C55:C56,0)</f>
        <v>0</v>
      </c>
      <c r="H55" s="2">
        <v>48</v>
      </c>
      <c r="I55" s="12">
        <f t="shared" ca="1" si="0"/>
        <v>46125</v>
      </c>
    </row>
    <row r="56" spans="2:9" x14ac:dyDescent="0.25">
      <c r="B56" s="6">
        <v>46</v>
      </c>
      <c r="C56" s="7">
        <f>IF(B56&lt;='Вхідні данні'!$C$16,'Вхідні данні'!$C$24/'Вхідні данні'!$C$16,0)</f>
        <v>0</v>
      </c>
      <c r="D56" s="7">
        <f>IF(B56&lt;='Вхідні данні'!$C$16,F55*'Вхідні данні'!$C$26/365*(I56-I55),0)</f>
        <v>0</v>
      </c>
      <c r="E56" s="8">
        <f>IF(B56&lt;='Вхідні данні'!$C$16,C56+D56,0)</f>
        <v>0</v>
      </c>
      <c r="F56" s="7">
        <f>IF(B56&lt;='Вхідні данні'!$C$16,F55-C56:C57,0)</f>
        <v>0</v>
      </c>
      <c r="H56" s="2">
        <v>49</v>
      </c>
      <c r="I56" s="12">
        <f t="shared" ca="1" si="0"/>
        <v>46155</v>
      </c>
    </row>
    <row r="57" spans="2:9" x14ac:dyDescent="0.25">
      <c r="B57" s="6">
        <v>47</v>
      </c>
      <c r="C57" s="7">
        <f>IF(B57&lt;='Вхідні данні'!$C$16,'Вхідні данні'!$C$24/'Вхідні данні'!$C$16,0)</f>
        <v>0</v>
      </c>
      <c r="D57" s="7">
        <f>IF(B57&lt;='Вхідні данні'!$C$16,F56*'Вхідні данні'!$C$26/365*(I57-I56),0)</f>
        <v>0</v>
      </c>
      <c r="E57" s="8">
        <f>IF(B57&lt;='Вхідні данні'!$C$16,C57+D57,0)</f>
        <v>0</v>
      </c>
      <c r="F57" s="7">
        <f>IF(B57&lt;='Вхідні данні'!$C$16,F56-C57:C58,0)</f>
        <v>0</v>
      </c>
      <c r="H57" s="2">
        <v>50</v>
      </c>
      <c r="I57" s="12">
        <f t="shared" ca="1" si="0"/>
        <v>46186</v>
      </c>
    </row>
    <row r="58" spans="2:9" x14ac:dyDescent="0.25">
      <c r="B58" s="6">
        <v>48</v>
      </c>
      <c r="C58" s="7">
        <f>IF(B58&lt;='Вхідні данні'!$C$16,'Вхідні данні'!$C$24/'Вхідні данні'!$C$16,0)</f>
        <v>0</v>
      </c>
      <c r="D58" s="7">
        <f>IF(B58&lt;='Вхідні данні'!$C$16,F57*'Вхідні данні'!$C$26/365*(I58-I57),0)</f>
        <v>0</v>
      </c>
      <c r="E58" s="8">
        <f>IF(B58&lt;='Вхідні данні'!$C$16,C58+D58,0)</f>
        <v>0</v>
      </c>
      <c r="F58" s="7">
        <f>IF(B58&lt;='Вхідні данні'!$C$16,F57-C58:C59,0)</f>
        <v>0</v>
      </c>
      <c r="H58" s="2">
        <v>51</v>
      </c>
      <c r="I58" s="12">
        <f t="shared" ca="1" si="0"/>
        <v>46216</v>
      </c>
    </row>
    <row r="59" spans="2:9" x14ac:dyDescent="0.25">
      <c r="B59" s="6">
        <v>49</v>
      </c>
      <c r="C59" s="7">
        <f>IF(B59&lt;='Вхідні данні'!$C$16,'Вхідні данні'!$C$24/'Вхідні данні'!$C$16,0)</f>
        <v>0</v>
      </c>
      <c r="D59" s="7">
        <f>IF(B59&lt;='Вхідні данні'!$C$16,F58*'Вхідні данні'!$C$26/365*(I59-I58),0)</f>
        <v>0</v>
      </c>
      <c r="E59" s="8">
        <f>IF(B59&lt;='Вхідні данні'!$C$16,C59+D59,0)</f>
        <v>0</v>
      </c>
      <c r="F59" s="7">
        <f>IF(B59&lt;='Вхідні данні'!$C$16,F58-C59:C60,0)</f>
        <v>0</v>
      </c>
      <c r="H59" s="2">
        <v>52</v>
      </c>
      <c r="I59" s="12">
        <f t="shared" ca="1" si="0"/>
        <v>46247</v>
      </c>
    </row>
    <row r="60" spans="2:9" x14ac:dyDescent="0.25">
      <c r="B60" s="6">
        <v>50</v>
      </c>
      <c r="C60" s="7">
        <f>IF(B60&lt;='Вхідні данні'!$C$16,'Вхідні данні'!$C$24/'Вхідні данні'!$C$16,0)</f>
        <v>0</v>
      </c>
      <c r="D60" s="7">
        <f>IF(B60&lt;='Вхідні данні'!$C$16,F59*'Вхідні данні'!$C$26/365*(I60-I59),0)</f>
        <v>0</v>
      </c>
      <c r="E60" s="8">
        <f>IF(B60&lt;='Вхідні данні'!$C$16,C60+D60,0)</f>
        <v>0</v>
      </c>
      <c r="F60" s="7">
        <f>IF(B60&lt;='Вхідні данні'!$C$16,F59-C60:C61,0)</f>
        <v>0</v>
      </c>
      <c r="H60" s="2">
        <v>53</v>
      </c>
      <c r="I60" s="12">
        <f t="shared" ca="1" si="0"/>
        <v>46278</v>
      </c>
    </row>
    <row r="61" spans="2:9" x14ac:dyDescent="0.25">
      <c r="B61" s="6">
        <v>51</v>
      </c>
      <c r="C61" s="7">
        <f>IF(B61&lt;='Вхідні данні'!$C$16,'Вхідні данні'!$C$24/'Вхідні данні'!$C$16,0)</f>
        <v>0</v>
      </c>
      <c r="D61" s="7">
        <f>IF(B61&lt;='Вхідні данні'!$C$16,F60*'Вхідні данні'!$C$26/365*(I61-I60),0)</f>
        <v>0</v>
      </c>
      <c r="E61" s="8">
        <f>IF(B61&lt;='Вхідні данні'!$C$16,C61+D61,0)</f>
        <v>0</v>
      </c>
      <c r="F61" s="7">
        <f>IF(B61&lt;='Вхідні данні'!$C$16,F60-C61:C62,0)</f>
        <v>0</v>
      </c>
      <c r="H61" s="2">
        <v>54</v>
      </c>
      <c r="I61" s="12">
        <f t="shared" ca="1" si="0"/>
        <v>46308</v>
      </c>
    </row>
    <row r="62" spans="2:9" x14ac:dyDescent="0.25">
      <c r="B62" s="6">
        <v>52</v>
      </c>
      <c r="C62" s="7">
        <f>IF(B62&lt;='Вхідні данні'!$C$16,'Вхідні данні'!$C$24/'Вхідні данні'!$C$16,0)</f>
        <v>0</v>
      </c>
      <c r="D62" s="7">
        <f>IF(B62&lt;='Вхідні данні'!$C$16,F61*'Вхідні данні'!$C$26/365*(I62-I61),0)</f>
        <v>0</v>
      </c>
      <c r="E62" s="8">
        <f>IF(B62&lt;='Вхідні данні'!$C$16,C62+D62,0)</f>
        <v>0</v>
      </c>
      <c r="F62" s="7">
        <f>IF(B62&lt;='Вхідні данні'!$C$16,F61-C62:C63,0)</f>
        <v>0</v>
      </c>
      <c r="H62" s="2">
        <v>55</v>
      </c>
      <c r="I62" s="12">
        <f t="shared" ca="1" si="0"/>
        <v>46339</v>
      </c>
    </row>
    <row r="63" spans="2:9" x14ac:dyDescent="0.25">
      <c r="B63" s="6">
        <v>53</v>
      </c>
      <c r="C63" s="7">
        <f>IF(B63&lt;='Вхідні данні'!$C$16,'Вхідні данні'!$C$24/'Вхідні данні'!$C$16,0)</f>
        <v>0</v>
      </c>
      <c r="D63" s="7">
        <f>IF(B63&lt;='Вхідні данні'!$C$16,F62*'Вхідні данні'!$C$26/365*(I63-I62),0)</f>
        <v>0</v>
      </c>
      <c r="E63" s="8">
        <f>IF(B63&lt;='Вхідні данні'!$C$16,C63+D63,0)</f>
        <v>0</v>
      </c>
      <c r="F63" s="7">
        <f>IF(B63&lt;='Вхідні данні'!$C$16,F62-C63:C64,0)</f>
        <v>0</v>
      </c>
      <c r="H63" s="2">
        <v>56</v>
      </c>
      <c r="I63" s="12">
        <f t="shared" ca="1" si="0"/>
        <v>46369</v>
      </c>
    </row>
    <row r="64" spans="2:9" x14ac:dyDescent="0.25">
      <c r="B64" s="6">
        <v>54</v>
      </c>
      <c r="C64" s="7">
        <f>IF(B64&lt;='Вхідні данні'!$C$16,'Вхідні данні'!$C$24/'Вхідні данні'!$C$16,0)</f>
        <v>0</v>
      </c>
      <c r="D64" s="7">
        <f>IF(B64&lt;='Вхідні данні'!$C$16,F63*'Вхідні данні'!$C$26/365*(I64-I63),0)</f>
        <v>0</v>
      </c>
      <c r="E64" s="8">
        <f>IF(B64&lt;='Вхідні данні'!$C$16,C64+D64,0)</f>
        <v>0</v>
      </c>
      <c r="F64" s="7">
        <f>IF(B64&lt;='Вхідні данні'!$C$16,F63-C64:C65,0)</f>
        <v>0</v>
      </c>
      <c r="H64" s="2">
        <v>57</v>
      </c>
      <c r="I64" s="12">
        <f t="shared" ca="1" si="0"/>
        <v>46400</v>
      </c>
    </row>
    <row r="65" spans="2:9" x14ac:dyDescent="0.25">
      <c r="B65" s="6">
        <v>55</v>
      </c>
      <c r="C65" s="7">
        <f>IF(B65&lt;='Вхідні данні'!$C$16,'Вхідні данні'!$C$24/'Вхідні данні'!$C$16,0)</f>
        <v>0</v>
      </c>
      <c r="D65" s="7">
        <f>IF(B65&lt;='Вхідні данні'!$C$16,F64*'Вхідні данні'!$C$26/365*(I65-I64),0)</f>
        <v>0</v>
      </c>
      <c r="E65" s="8">
        <f>IF(B65&lt;='Вхідні данні'!$C$16,C65+D65,0)</f>
        <v>0</v>
      </c>
      <c r="F65" s="7">
        <f>IF(B65&lt;='Вхідні данні'!$C$16,F64-C65:C66,0)</f>
        <v>0</v>
      </c>
      <c r="H65" s="2">
        <v>58</v>
      </c>
      <c r="I65" s="12">
        <f t="shared" ca="1" si="0"/>
        <v>46431</v>
      </c>
    </row>
    <row r="66" spans="2:9" x14ac:dyDescent="0.25">
      <c r="B66" s="6">
        <v>56</v>
      </c>
      <c r="C66" s="7">
        <f>IF(B66&lt;='Вхідні данні'!$C$16,'Вхідні данні'!$C$24/'Вхідні данні'!$C$16,0)</f>
        <v>0</v>
      </c>
      <c r="D66" s="7">
        <f>IF(B66&lt;='Вхідні данні'!$C$16,F65*'Вхідні данні'!$C$26/365*(I66-I65),0)</f>
        <v>0</v>
      </c>
      <c r="E66" s="8">
        <f>IF(B66&lt;='Вхідні данні'!$C$16,C66+D66,0)</f>
        <v>0</v>
      </c>
      <c r="F66" s="7">
        <f>IF(B66&lt;='Вхідні данні'!$C$16,F65-C66:C67,0)</f>
        <v>0</v>
      </c>
      <c r="H66" s="2">
        <v>59</v>
      </c>
      <c r="I66" s="12">
        <f t="shared" ca="1" si="0"/>
        <v>46459</v>
      </c>
    </row>
    <row r="67" spans="2:9" x14ac:dyDescent="0.25">
      <c r="B67" s="6">
        <v>57</v>
      </c>
      <c r="C67" s="7">
        <f>IF(B67&lt;='Вхідні данні'!$C$16,'Вхідні данні'!$C$24/'Вхідні данні'!$C$16,0)</f>
        <v>0</v>
      </c>
      <c r="D67" s="7">
        <f>IF(B67&lt;='Вхідні данні'!$C$16,F66*'Вхідні данні'!$C$26/365*(I67-I66),0)</f>
        <v>0</v>
      </c>
      <c r="E67" s="8">
        <f>IF(B67&lt;='Вхідні данні'!$C$16,C67+D67,0)</f>
        <v>0</v>
      </c>
      <c r="F67" s="7">
        <f>IF(B67&lt;='Вхідні данні'!$C$16,F66-C67:C68,0)</f>
        <v>0</v>
      </c>
      <c r="H67" s="2">
        <v>60</v>
      </c>
      <c r="I67" s="12">
        <f t="shared" ca="1" si="0"/>
        <v>46490</v>
      </c>
    </row>
    <row r="68" spans="2:9" x14ac:dyDescent="0.25">
      <c r="B68" s="6">
        <v>58</v>
      </c>
      <c r="C68" s="7">
        <f>IF(B68&lt;='Вхідні данні'!$C$16,'Вхідні данні'!$C$24/'Вхідні данні'!$C$16,0)</f>
        <v>0</v>
      </c>
      <c r="D68" s="7">
        <f>IF(B68&lt;='Вхідні данні'!$C$16,F67*'Вхідні данні'!$C$26/365*(I68-I67),0)</f>
        <v>0</v>
      </c>
      <c r="E68" s="8">
        <f>IF(B68&lt;='Вхідні данні'!$C$16,C68+D68,0)</f>
        <v>0</v>
      </c>
      <c r="F68" s="7">
        <f>IF(B68&lt;='Вхідні данні'!$C$16,F67-C68:C69,0)</f>
        <v>0</v>
      </c>
      <c r="H68" s="2">
        <v>61</v>
      </c>
      <c r="I68" s="12">
        <f t="shared" ca="1" si="0"/>
        <v>46520</v>
      </c>
    </row>
    <row r="69" spans="2:9" x14ac:dyDescent="0.25">
      <c r="B69" s="6">
        <v>59</v>
      </c>
      <c r="C69" s="7">
        <f>IF(B69&lt;='Вхідні данні'!$C$16,'Вхідні данні'!$C$24/'Вхідні данні'!$C$16,0)</f>
        <v>0</v>
      </c>
      <c r="D69" s="7">
        <f>IF(B69&lt;='Вхідні данні'!$C$16,F68*'Вхідні данні'!$C$26/365*(I69-I68),0)</f>
        <v>0</v>
      </c>
      <c r="E69" s="8">
        <f>IF(B69&lt;='Вхідні данні'!$C$16,C69+D69,0)</f>
        <v>0</v>
      </c>
      <c r="F69" s="7">
        <f>IF(B69&lt;='Вхідні данні'!$C$16,F68-C69:C70,0)</f>
        <v>0</v>
      </c>
      <c r="H69" s="2">
        <v>62</v>
      </c>
      <c r="I69" s="12">
        <f t="shared" ca="1" si="0"/>
        <v>46551</v>
      </c>
    </row>
    <row r="70" spans="2:9" x14ac:dyDescent="0.25">
      <c r="B70" s="6">
        <v>60</v>
      </c>
      <c r="C70" s="7">
        <f>IF(B70&lt;='Вхідні данні'!$C$16,'Вхідні данні'!$C$24/'Вхідні данні'!$C$16,0)</f>
        <v>0</v>
      </c>
      <c r="D70" s="7">
        <f>IF(B70&lt;='Вхідні данні'!$C$16,F69*'Вхідні данні'!$C$26/365*(I70-I69),0)</f>
        <v>0</v>
      </c>
      <c r="E70" s="8">
        <f>IF(B70&lt;='Вхідні данні'!$C$16,C70+D70,0)</f>
        <v>0</v>
      </c>
      <c r="F70" s="7">
        <f>IF(B70&lt;='Вхідні данні'!$C$16,F69-C70:C71,0)</f>
        <v>0</v>
      </c>
      <c r="H70" s="2">
        <v>63</v>
      </c>
      <c r="I70" s="12">
        <f t="shared" ca="1" si="0"/>
        <v>46581</v>
      </c>
    </row>
    <row r="71" spans="2:9" x14ac:dyDescent="0.25">
      <c r="B71" s="6">
        <v>61</v>
      </c>
      <c r="C71" s="7">
        <f>IF(B71&lt;='Вхідні данні'!$C$16,'Вхідні данні'!$C$24/'Вхідні данні'!$C$16,0)</f>
        <v>0</v>
      </c>
      <c r="D71" s="7">
        <f>IF(B71&lt;='Вхідні данні'!$C$16,F70*'Вхідні данні'!$C$26/365*(I71-I70),0)</f>
        <v>0</v>
      </c>
      <c r="E71" s="8">
        <f>IF(B71&lt;='Вхідні данні'!$C$16,C71+D71,0)</f>
        <v>0</v>
      </c>
      <c r="F71" s="7">
        <f>IF(B71&lt;='Вхідні данні'!$C$16,F70-C71:C72,0)</f>
        <v>0</v>
      </c>
      <c r="H71" s="2">
        <v>64</v>
      </c>
      <c r="I71" s="12">
        <f t="shared" ca="1" si="0"/>
        <v>46612</v>
      </c>
    </row>
    <row r="72" spans="2:9" x14ac:dyDescent="0.25">
      <c r="B72" s="6">
        <v>62</v>
      </c>
      <c r="C72" s="7">
        <f>IF(B72&lt;='Вхідні данні'!$C$16,'Вхідні данні'!$C$24/'Вхідні данні'!$C$16,0)</f>
        <v>0</v>
      </c>
      <c r="D72" s="7">
        <f>IF(B72&lt;='Вхідні данні'!$C$16,F71*'Вхідні данні'!$C$26/365*(I72-I71),0)</f>
        <v>0</v>
      </c>
      <c r="E72" s="8">
        <f>IF(B72&lt;='Вхідні данні'!$C$16,C72+D72,0)</f>
        <v>0</v>
      </c>
      <c r="F72" s="7">
        <f>IF(B72&lt;='Вхідні данні'!$C$16,F71-C72:C73,0)</f>
        <v>0</v>
      </c>
      <c r="H72" s="2">
        <v>65</v>
      </c>
      <c r="I72" s="12">
        <f t="shared" ca="1" si="0"/>
        <v>46643</v>
      </c>
    </row>
    <row r="73" spans="2:9" x14ac:dyDescent="0.25">
      <c r="B73" s="6">
        <v>63</v>
      </c>
      <c r="C73" s="7">
        <f>IF(B73&lt;='Вхідні данні'!$C$16,'Вхідні данні'!$C$24/'Вхідні данні'!$C$16,0)</f>
        <v>0</v>
      </c>
      <c r="D73" s="7">
        <f>IF(B73&lt;='Вхідні данні'!$C$16,F72*'Вхідні данні'!$C$26/365*(I73-I72),0)</f>
        <v>0</v>
      </c>
      <c r="E73" s="8">
        <f>IF(B73&lt;='Вхідні данні'!$C$16,C73+D73,0)</f>
        <v>0</v>
      </c>
      <c r="F73" s="7">
        <f>IF(B73&lt;='Вхідні данні'!$C$16,F72-C73:C74,0)</f>
        <v>0</v>
      </c>
      <c r="H73" s="2">
        <v>66</v>
      </c>
      <c r="I73" s="12">
        <f t="shared" ca="1" si="0"/>
        <v>46673</v>
      </c>
    </row>
    <row r="74" spans="2:9" x14ac:dyDescent="0.25">
      <c r="B74" s="6">
        <v>64</v>
      </c>
      <c r="C74" s="7">
        <f>IF(B74&lt;='Вхідні данні'!$C$16,'Вхідні данні'!$C$24/'Вхідні данні'!$C$16,0)</f>
        <v>0</v>
      </c>
      <c r="D74" s="7">
        <f>IF(B74&lt;='Вхідні данні'!$C$16,F73*'Вхідні данні'!$C$26/365*(I74-I73),0)</f>
        <v>0</v>
      </c>
      <c r="E74" s="8">
        <f>IF(B74&lt;='Вхідні данні'!$C$16,C74+D74,0)</f>
        <v>0</v>
      </c>
      <c r="F74" s="7">
        <f>IF(B74&lt;='Вхідні данні'!$C$16,F73-C74:C75,0)</f>
        <v>0</v>
      </c>
      <c r="H74" s="2">
        <v>67</v>
      </c>
      <c r="I74" s="12">
        <f t="shared" ca="1" si="0"/>
        <v>46704</v>
      </c>
    </row>
    <row r="75" spans="2:9" x14ac:dyDescent="0.25">
      <c r="B75" s="6">
        <v>65</v>
      </c>
      <c r="C75" s="7">
        <f>IF(B75&lt;='Вхідні данні'!$C$16,'Вхідні данні'!$C$24/'Вхідні данні'!$C$16,0)</f>
        <v>0</v>
      </c>
      <c r="D75" s="7">
        <f>IF(B75&lt;='Вхідні данні'!$C$16,F74*'Вхідні данні'!$C$26/365*(I75-I74),0)</f>
        <v>0</v>
      </c>
      <c r="E75" s="8">
        <f>IF(B75&lt;='Вхідні данні'!$C$16,C75+D75,0)</f>
        <v>0</v>
      </c>
      <c r="F75" s="7">
        <f>IF(B75&lt;='Вхідні данні'!$C$16,F74-C75:C76,0)</f>
        <v>0</v>
      </c>
      <c r="H75" s="2">
        <v>68</v>
      </c>
      <c r="I75" s="12">
        <f t="shared" ca="1" si="0"/>
        <v>46734</v>
      </c>
    </row>
    <row r="76" spans="2:9" x14ac:dyDescent="0.25">
      <c r="B76" s="6">
        <v>66</v>
      </c>
      <c r="C76" s="7">
        <f>IF(B76&lt;='Вхідні данні'!$C$16,'Вхідні данні'!$C$24/'Вхідні данні'!$C$16,0)</f>
        <v>0</v>
      </c>
      <c r="D76" s="7">
        <f>IF(B76&lt;='Вхідні данні'!$C$16,F75*'Вхідні данні'!$C$26/365*(I76-I75),0)</f>
        <v>0</v>
      </c>
      <c r="E76" s="8">
        <f>IF(B76&lt;='Вхідні данні'!$C$16,C76+D76,0)</f>
        <v>0</v>
      </c>
      <c r="F76" s="7">
        <f>IF(B76&lt;='Вхідні данні'!$C$16,F75-C76:C77,0)</f>
        <v>0</v>
      </c>
      <c r="H76" s="2">
        <v>69</v>
      </c>
      <c r="I76" s="12">
        <f t="shared" ref="I76:I94" ca="1" si="1">IF(DAY(TODAY())&gt;DAY(DATE(YEAR(TODAY()),MONTH(TODAY())+H73+1,1)-1),DATE(YEAR(TODAY()),MONTH(TODAY())+H73+1,1)-1,DATE(YEAR(TODAY()),MONTH(TODAY())+H73,DAY(TODAY())))</f>
        <v>46765</v>
      </c>
    </row>
    <row r="77" spans="2:9" x14ac:dyDescent="0.25">
      <c r="B77" s="6">
        <v>67</v>
      </c>
      <c r="C77" s="7">
        <f>IF(B77&lt;='Вхідні данні'!$C$16,'Вхідні данні'!$C$24/'Вхідні данні'!$C$16,0)</f>
        <v>0</v>
      </c>
      <c r="D77" s="7">
        <f>IF(B77&lt;='Вхідні данні'!$C$16,F76*'Вхідні данні'!$C$26/365*(I77-I76),0)</f>
        <v>0</v>
      </c>
      <c r="E77" s="8">
        <f>IF(B77&lt;='Вхідні данні'!$C$16,C77+D77,0)</f>
        <v>0</v>
      </c>
      <c r="F77" s="7">
        <f>IF(B77&lt;='Вхідні данні'!$C$16,F76-C77:C78,0)</f>
        <v>0</v>
      </c>
      <c r="H77" s="2">
        <v>70</v>
      </c>
      <c r="I77" s="12">
        <f t="shared" ca="1" si="1"/>
        <v>46796</v>
      </c>
    </row>
    <row r="78" spans="2:9" x14ac:dyDescent="0.25">
      <c r="B78" s="6">
        <v>68</v>
      </c>
      <c r="C78" s="7">
        <f>IF(B78&lt;='Вхідні данні'!$C$16,'Вхідні данні'!$C$24/'Вхідні данні'!$C$16,0)</f>
        <v>0</v>
      </c>
      <c r="D78" s="7">
        <f>IF(B78&lt;='Вхідні данні'!$C$16,F77*'Вхідні данні'!$C$26/365*(I78-I77),0)</f>
        <v>0</v>
      </c>
      <c r="E78" s="8">
        <f>IF(B78&lt;='Вхідні данні'!$C$16,C78+D78,0)</f>
        <v>0</v>
      </c>
      <c r="F78" s="7">
        <f>IF(B78&lt;='Вхідні данні'!$C$16,F77-C78:C79,0)</f>
        <v>0</v>
      </c>
      <c r="H78" s="2">
        <v>71</v>
      </c>
      <c r="I78" s="12">
        <f t="shared" ca="1" si="1"/>
        <v>46825</v>
      </c>
    </row>
    <row r="79" spans="2:9" x14ac:dyDescent="0.25">
      <c r="B79" s="6">
        <v>69</v>
      </c>
      <c r="C79" s="7">
        <f>IF(B79&lt;='Вхідні данні'!$C$16,'Вхідні данні'!$C$24/'Вхідні данні'!$C$16,0)</f>
        <v>0</v>
      </c>
      <c r="D79" s="7">
        <f>IF(B79&lt;='Вхідні данні'!$C$16,F78*'Вхідні данні'!$C$26/365*(I79-I78),0)</f>
        <v>0</v>
      </c>
      <c r="E79" s="8">
        <f>IF(B79&lt;='Вхідні данні'!$C$16,C79+D79,0)</f>
        <v>0</v>
      </c>
      <c r="F79" s="7">
        <f>IF(B79&lt;='Вхідні данні'!$C$16,F78-C79:C80,0)</f>
        <v>0</v>
      </c>
      <c r="H79" s="2">
        <v>72</v>
      </c>
      <c r="I79" s="12">
        <f t="shared" ca="1" si="1"/>
        <v>46856</v>
      </c>
    </row>
    <row r="80" spans="2:9" x14ac:dyDescent="0.25">
      <c r="B80" s="6">
        <v>70</v>
      </c>
      <c r="C80" s="7">
        <f>IF(B80&lt;='Вхідні данні'!$C$16,'Вхідні данні'!$C$24/'Вхідні данні'!$C$16,0)</f>
        <v>0</v>
      </c>
      <c r="D80" s="7">
        <f>IF(B80&lt;='Вхідні данні'!$C$16,F79*'Вхідні данні'!$C$26/365*(I80-I79),0)</f>
        <v>0</v>
      </c>
      <c r="E80" s="8">
        <f>IF(B80&lt;='Вхідні данні'!$C$16,C80+D80,0)</f>
        <v>0</v>
      </c>
      <c r="F80" s="7">
        <f>IF(B80&lt;='Вхідні данні'!$C$16,F79-C80:C81,0)</f>
        <v>0</v>
      </c>
      <c r="H80" s="2">
        <v>73</v>
      </c>
      <c r="I80" s="12">
        <f t="shared" ca="1" si="1"/>
        <v>46886</v>
      </c>
    </row>
    <row r="81" spans="2:9" x14ac:dyDescent="0.25">
      <c r="B81" s="6">
        <v>71</v>
      </c>
      <c r="C81" s="7">
        <f>IF(B81&lt;='Вхідні данні'!$C$16,'Вхідні данні'!$C$24/'Вхідні данні'!$C$16,0)</f>
        <v>0</v>
      </c>
      <c r="D81" s="7">
        <f>IF(B81&lt;='Вхідні данні'!$C$16,F80*'Вхідні данні'!$C$26/365*(I81-I80),0)</f>
        <v>0</v>
      </c>
      <c r="E81" s="8">
        <f>IF(B81&lt;='Вхідні данні'!$C$16,C81+D81,0)</f>
        <v>0</v>
      </c>
      <c r="F81" s="7">
        <f>IF(B81&lt;='Вхідні данні'!$C$16,F80-C81:C82,0)</f>
        <v>0</v>
      </c>
      <c r="H81" s="2">
        <v>74</v>
      </c>
      <c r="I81" s="12">
        <f t="shared" ca="1" si="1"/>
        <v>46917</v>
      </c>
    </row>
    <row r="82" spans="2:9" x14ac:dyDescent="0.25">
      <c r="B82" s="6">
        <v>72</v>
      </c>
      <c r="C82" s="7">
        <f>IF(B82&lt;='Вхідні данні'!$C$16,'Вхідні данні'!$C$24/'Вхідні данні'!$C$16,0)</f>
        <v>0</v>
      </c>
      <c r="D82" s="7">
        <f>IF(B82&lt;='Вхідні данні'!$C$16,F81*'Вхідні данні'!$C$26/365*(I82-I81),0)</f>
        <v>0</v>
      </c>
      <c r="E82" s="8">
        <f>IF(B82&lt;='Вхідні данні'!$C$16,C82+D82,0)</f>
        <v>0</v>
      </c>
      <c r="F82" s="7">
        <f>IF(B82&lt;='Вхідні данні'!$C$16,F81-C82:C83,0)</f>
        <v>0</v>
      </c>
      <c r="H82" s="2">
        <v>75</v>
      </c>
      <c r="I82" s="12">
        <f t="shared" ca="1" si="1"/>
        <v>46947</v>
      </c>
    </row>
    <row r="83" spans="2:9" x14ac:dyDescent="0.25">
      <c r="B83" s="6">
        <v>73</v>
      </c>
      <c r="C83" s="7">
        <f>IF(B83&lt;='Вхідні данні'!$C$16,'Вхідні данні'!$C$24/'Вхідні данні'!$C$16,0)</f>
        <v>0</v>
      </c>
      <c r="D83" s="7">
        <f>IF(B83&lt;='Вхідні данні'!$C$16,F82*'Вхідні данні'!$C$26/365*(I83-I82),0)</f>
        <v>0</v>
      </c>
      <c r="E83" s="8">
        <f>IF(B83&lt;='Вхідні данні'!$C$16,C83+D83,0)</f>
        <v>0</v>
      </c>
      <c r="F83" s="7">
        <f>IF(B83&lt;='Вхідні данні'!$C$16,F82-C83:C84,0)</f>
        <v>0</v>
      </c>
      <c r="H83" s="2">
        <v>76</v>
      </c>
      <c r="I83" s="12">
        <f t="shared" ca="1" si="1"/>
        <v>46978</v>
      </c>
    </row>
    <row r="84" spans="2:9" x14ac:dyDescent="0.25">
      <c r="B84" s="6">
        <v>74</v>
      </c>
      <c r="C84" s="7">
        <f>IF(B84&lt;='Вхідні данні'!$C$16,'Вхідні данні'!$C$24/'Вхідні данні'!$C$16,0)</f>
        <v>0</v>
      </c>
      <c r="D84" s="7">
        <f>IF(B84&lt;='Вхідні данні'!$C$16,F83*'Вхідні данні'!$C$26/365*(I84-I83),0)</f>
        <v>0</v>
      </c>
      <c r="E84" s="8">
        <f>IF(B84&lt;='Вхідні данні'!$C$16,C84+D84,0)</f>
        <v>0</v>
      </c>
      <c r="F84" s="7">
        <f>IF(B84&lt;='Вхідні данні'!$C$16,F83-C84:C85,0)</f>
        <v>0</v>
      </c>
      <c r="H84" s="2">
        <v>77</v>
      </c>
      <c r="I84" s="12">
        <f t="shared" ca="1" si="1"/>
        <v>47009</v>
      </c>
    </row>
    <row r="85" spans="2:9" x14ac:dyDescent="0.25">
      <c r="B85" s="6">
        <v>75</v>
      </c>
      <c r="C85" s="7">
        <f>IF(B85&lt;='Вхідні данні'!$C$16,'Вхідні данні'!$C$24/'Вхідні данні'!$C$16,0)</f>
        <v>0</v>
      </c>
      <c r="D85" s="7">
        <f>IF(B85&lt;='Вхідні данні'!$C$16,F84*'Вхідні данні'!$C$26/365*(I85-I84),0)</f>
        <v>0</v>
      </c>
      <c r="E85" s="8">
        <f>IF(B85&lt;='Вхідні данні'!$C$16,C85+D85,0)</f>
        <v>0</v>
      </c>
      <c r="F85" s="7">
        <f>IF(B85&lt;='Вхідні данні'!$C$16,F84-C85:C86,0)</f>
        <v>0</v>
      </c>
      <c r="H85" s="2">
        <v>78</v>
      </c>
      <c r="I85" s="12">
        <f t="shared" ca="1" si="1"/>
        <v>47039</v>
      </c>
    </row>
    <row r="86" spans="2:9" x14ac:dyDescent="0.25">
      <c r="B86" s="6">
        <v>76</v>
      </c>
      <c r="C86" s="7">
        <f>IF(B86&lt;='Вхідні данні'!$C$16,'Вхідні данні'!$C$24/'Вхідні данні'!$C$16,0)</f>
        <v>0</v>
      </c>
      <c r="D86" s="7">
        <f>IF(B86&lt;='Вхідні данні'!$C$16,F85*'Вхідні данні'!$C$26/365*(I86-I85),0)</f>
        <v>0</v>
      </c>
      <c r="E86" s="8">
        <f>IF(B86&lt;='Вхідні данні'!$C$16,C86+D86,0)</f>
        <v>0</v>
      </c>
      <c r="F86" s="7">
        <f>IF(B86&lt;='Вхідні данні'!$C$16,F85-C86:C87,0)</f>
        <v>0</v>
      </c>
      <c r="H86" s="2">
        <v>79</v>
      </c>
      <c r="I86" s="12">
        <f t="shared" ca="1" si="1"/>
        <v>47070</v>
      </c>
    </row>
    <row r="87" spans="2:9" x14ac:dyDescent="0.25">
      <c r="B87" s="6">
        <v>77</v>
      </c>
      <c r="C87" s="7">
        <f>IF(B87&lt;='Вхідні данні'!$C$16,'Вхідні данні'!$C$24/'Вхідні данні'!$C$16,0)</f>
        <v>0</v>
      </c>
      <c r="D87" s="7">
        <f>IF(B87&lt;='Вхідні данні'!$C$16,F86*'Вхідні данні'!$C$26/365*(I87-I86),0)</f>
        <v>0</v>
      </c>
      <c r="E87" s="8">
        <f>IF(B87&lt;='Вхідні данні'!$C$16,C87+D87,0)</f>
        <v>0</v>
      </c>
      <c r="F87" s="7">
        <f>IF(B87&lt;='Вхідні данні'!$C$16,F86-C87:C88,0)</f>
        <v>0</v>
      </c>
      <c r="H87" s="2">
        <v>80</v>
      </c>
      <c r="I87" s="12">
        <f t="shared" ca="1" si="1"/>
        <v>47100</v>
      </c>
    </row>
    <row r="88" spans="2:9" x14ac:dyDescent="0.25">
      <c r="B88" s="6">
        <v>78</v>
      </c>
      <c r="C88" s="7">
        <f>IF(B88&lt;='Вхідні данні'!$C$16,'Вхідні данні'!$C$24/'Вхідні данні'!$C$16,0)</f>
        <v>0</v>
      </c>
      <c r="D88" s="7">
        <f>IF(B88&lt;='Вхідні данні'!$C$16,F87*'Вхідні данні'!$C$26/365*(I88-I87),0)</f>
        <v>0</v>
      </c>
      <c r="E88" s="8">
        <f>IF(B88&lt;='Вхідні данні'!$C$16,C88+D88,0)</f>
        <v>0</v>
      </c>
      <c r="F88" s="7">
        <f>IF(B88&lt;='Вхідні данні'!$C$16,F87-C88:C89,0)</f>
        <v>0</v>
      </c>
      <c r="H88" s="2">
        <v>81</v>
      </c>
      <c r="I88" s="12">
        <f t="shared" ca="1" si="1"/>
        <v>47131</v>
      </c>
    </row>
    <row r="89" spans="2:9" x14ac:dyDescent="0.25">
      <c r="B89" s="6">
        <v>79</v>
      </c>
      <c r="C89" s="7">
        <f>IF(B89&lt;='Вхідні данні'!$C$16,'Вхідні данні'!$C$24/'Вхідні данні'!$C$16,0)</f>
        <v>0</v>
      </c>
      <c r="D89" s="7">
        <f>IF(B89&lt;='Вхідні данні'!$C$16,F88*'Вхідні данні'!$C$26/365*(I89-I88),0)</f>
        <v>0</v>
      </c>
      <c r="E89" s="8">
        <f>IF(B89&lt;='Вхідні данні'!$C$16,C89+D89,0)</f>
        <v>0</v>
      </c>
      <c r="F89" s="7">
        <f>IF(B89&lt;='Вхідні данні'!$C$16,F88-C89:C90,0)</f>
        <v>0</v>
      </c>
      <c r="H89" s="2">
        <v>82</v>
      </c>
      <c r="I89" s="12">
        <f t="shared" ca="1" si="1"/>
        <v>47162</v>
      </c>
    </row>
    <row r="90" spans="2:9" x14ac:dyDescent="0.25">
      <c r="B90" s="6">
        <v>80</v>
      </c>
      <c r="C90" s="7">
        <f>IF(B90&lt;='Вхідні данні'!$C$16,'Вхідні данні'!$C$24/'Вхідні данні'!$C$16,0)</f>
        <v>0</v>
      </c>
      <c r="D90" s="7">
        <f>IF(B90&lt;='Вхідні данні'!$C$16,F89*'Вхідні данні'!$C$26/365*(I90-I89),0)</f>
        <v>0</v>
      </c>
      <c r="E90" s="8">
        <f>IF(B90&lt;='Вхідні данні'!$C$16,C90+D90,0)</f>
        <v>0</v>
      </c>
      <c r="F90" s="7">
        <f>IF(B90&lt;='Вхідні данні'!$C$16,F89-C90:C91,0)</f>
        <v>0</v>
      </c>
      <c r="H90" s="2">
        <v>83</v>
      </c>
      <c r="I90" s="12">
        <f t="shared" ca="1" si="1"/>
        <v>47190</v>
      </c>
    </row>
    <row r="91" spans="2:9" x14ac:dyDescent="0.25">
      <c r="B91" s="6">
        <v>81</v>
      </c>
      <c r="C91" s="7">
        <f>IF(B91&lt;='Вхідні данні'!$C$16,'Вхідні данні'!$C$24/'Вхідні данні'!$C$16,0)</f>
        <v>0</v>
      </c>
      <c r="D91" s="7">
        <f>IF(B91&lt;='Вхідні данні'!$C$16,F90*'Вхідні данні'!$C$26/365*(I91-I90),0)</f>
        <v>0</v>
      </c>
      <c r="E91" s="8">
        <f>IF(B91&lt;='Вхідні данні'!$C$16,C91+D91,0)</f>
        <v>0</v>
      </c>
      <c r="F91" s="7">
        <f>IF(B91&lt;='Вхідні данні'!$C$16,F90-C91:C92,0)</f>
        <v>0</v>
      </c>
      <c r="H91" s="2">
        <v>84</v>
      </c>
      <c r="I91" s="12">
        <f t="shared" ca="1" si="1"/>
        <v>47221</v>
      </c>
    </row>
    <row r="92" spans="2:9" x14ac:dyDescent="0.25">
      <c r="B92" s="6">
        <v>82</v>
      </c>
      <c r="C92" s="7">
        <f>IF(B92&lt;='Вхідні данні'!$C$16,'Вхідні данні'!$C$24/'Вхідні данні'!$C$16,0)</f>
        <v>0</v>
      </c>
      <c r="D92" s="7">
        <f>IF(B92&lt;='Вхідні данні'!$C$16,F91*'Вхідні данні'!$C$26/365*(I92-I91),0)</f>
        <v>0</v>
      </c>
      <c r="E92" s="8">
        <f>IF(B92&lt;='Вхідні данні'!$C$16,C92+D92,0)</f>
        <v>0</v>
      </c>
      <c r="F92" s="7">
        <f>IF(B92&lt;='Вхідні данні'!$C$16,F91-C92:C93,0)</f>
        <v>0</v>
      </c>
      <c r="H92" s="2">
        <v>85</v>
      </c>
      <c r="I92" s="12">
        <f t="shared" ca="1" si="1"/>
        <v>47251</v>
      </c>
    </row>
    <row r="93" spans="2:9" x14ac:dyDescent="0.25">
      <c r="B93" s="6">
        <v>83</v>
      </c>
      <c r="C93" s="7">
        <f>IF(B93&lt;='Вхідні данні'!$C$16,'Вхідні данні'!$C$24/'Вхідні данні'!$C$16,0)</f>
        <v>0</v>
      </c>
      <c r="D93" s="7">
        <f>IF(B93&lt;='Вхідні данні'!$C$16,F92*'Вхідні данні'!$C$26/365*(I93-I92),0)</f>
        <v>0</v>
      </c>
      <c r="E93" s="8">
        <f>IF(B93&lt;='Вхідні данні'!$C$16,C93+D93,0)</f>
        <v>0</v>
      </c>
      <c r="F93" s="7">
        <f>IF(B93&lt;='Вхідні данні'!$C$16,F92-C93:C94,0)</f>
        <v>0</v>
      </c>
      <c r="H93" s="2">
        <v>86</v>
      </c>
      <c r="I93" s="12">
        <f t="shared" ca="1" si="1"/>
        <v>47282</v>
      </c>
    </row>
    <row r="94" spans="2:9" x14ac:dyDescent="0.25">
      <c r="B94" s="6">
        <v>84</v>
      </c>
      <c r="C94" s="7">
        <f>IF(B94&lt;='Вхідні данні'!$C$16,'Вхідні данні'!$C$24/'Вхідні данні'!$C$16,0)</f>
        <v>0</v>
      </c>
      <c r="D94" s="7">
        <f>IF(B94&lt;='Вхідні данні'!$C$16,F93*'Вхідні данні'!$C$26/365*(I94-I93),0)</f>
        <v>0</v>
      </c>
      <c r="E94" s="8">
        <f>IF(B94&lt;='Вхідні данні'!$C$16,C94+D94,0)</f>
        <v>0</v>
      </c>
      <c r="F94" s="7">
        <f>IF(B94&lt;='Вхідні данні'!$C$16,F93-C94:C95,0)</f>
        <v>0</v>
      </c>
      <c r="H94" s="2">
        <v>87</v>
      </c>
      <c r="I94" s="12">
        <f t="shared" ca="1" si="1"/>
        <v>47312</v>
      </c>
    </row>
    <row r="95" spans="2:9" x14ac:dyDescent="0.25">
      <c r="B95" s="9" t="s">
        <v>13</v>
      </c>
      <c r="C95" s="11">
        <f>SUM(C11:C94)</f>
        <v>514998.50499999977</v>
      </c>
      <c r="D95" s="11">
        <f ca="1">SUM(D11:D94)</f>
        <v>39701.524780049505</v>
      </c>
    </row>
    <row r="96" spans="2:9" x14ac:dyDescent="0.25"/>
  </sheetData>
  <mergeCells count="1">
    <mergeCell ref="B7:E8"/>
  </mergeCells>
  <conditionalFormatting sqref="C11:F94">
    <cfRule type="cellIs" dxfId="3" priority="1" operator="equal">
      <formula>0</formula>
    </cfRule>
  </conditionalFormatting>
  <pageMargins left="0.7" right="0.7" top="0.75" bottom="0.75" header="0.3" footer="0.3"/>
  <pageSetup paperSize="9" scale="73" orientation="portrait" r:id="rId1"/>
  <rowBreaks count="1" manualBreakCount="1">
    <brk id="58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zoomScale="85" zoomScaleNormal="85" workbookViewId="0">
      <selection activeCell="G10" sqref="G10"/>
    </sheetView>
  </sheetViews>
  <sheetFormatPr defaultColWidth="0" defaultRowHeight="15" customHeight="1" zeroHeight="1" x14ac:dyDescent="0.25"/>
  <cols>
    <col min="1" max="1" width="9.140625" style="2" customWidth="1"/>
    <col min="2" max="2" width="11.5703125" style="2" customWidth="1"/>
    <col min="3" max="3" width="22.5703125" style="2" customWidth="1"/>
    <col min="4" max="4" width="23.5703125" style="2" customWidth="1"/>
    <col min="5" max="5" width="18" style="2" customWidth="1"/>
    <col min="6" max="6" width="25.140625" style="2" customWidth="1"/>
    <col min="7" max="7" width="9.140625" style="2" customWidth="1"/>
    <col min="8" max="8" width="9.140625" style="2" hidden="1" customWidth="1"/>
    <col min="9" max="9" width="10.140625" style="12" hidden="1" customWidth="1"/>
    <col min="10" max="16384" width="9.140625" style="2" hidden="1"/>
  </cols>
  <sheetData>
    <row r="1" spans="2:9" x14ac:dyDescent="0.25"/>
    <row r="2" spans="2:9" x14ac:dyDescent="0.25"/>
    <row r="3" spans="2:9" s="42" customFormat="1" x14ac:dyDescent="0.25">
      <c r="I3" s="43"/>
    </row>
    <row r="4" spans="2:9" x14ac:dyDescent="0.25"/>
    <row r="5" spans="2:9" ht="13.9" customHeight="1" x14ac:dyDescent="0.25"/>
    <row r="6" spans="2:9" ht="13.9" customHeight="1" x14ac:dyDescent="0.25">
      <c r="B6" s="71" t="s">
        <v>61</v>
      </c>
      <c r="C6" s="71"/>
      <c r="D6" s="71"/>
      <c r="E6" s="47"/>
      <c r="F6" s="48" t="s">
        <v>59</v>
      </c>
    </row>
    <row r="7" spans="2:9" ht="13.15" customHeight="1" x14ac:dyDescent="0.25">
      <c r="B7" s="71"/>
      <c r="C7" s="71"/>
      <c r="D7" s="71"/>
      <c r="E7" s="49"/>
      <c r="F7" s="52">
        <f>'Вхідні данні'!C32</f>
        <v>1E-4</v>
      </c>
    </row>
    <row r="8" spans="2:9" ht="13.9" customHeight="1" x14ac:dyDescent="0.25">
      <c r="B8" s="71"/>
      <c r="C8" s="71"/>
      <c r="D8" s="71"/>
      <c r="E8" s="50"/>
      <c r="F8" s="48" t="s">
        <v>60</v>
      </c>
      <c r="H8" s="2">
        <v>1</v>
      </c>
    </row>
    <row r="9" spans="2:9" ht="13.15" customHeight="1" x14ac:dyDescent="0.25">
      <c r="B9" s="72"/>
      <c r="C9" s="72"/>
      <c r="D9" s="72"/>
      <c r="E9" s="51"/>
      <c r="F9" s="52">
        <f>'Вхідні данні'!C26</f>
        <v>4.99E-2</v>
      </c>
      <c r="H9" s="2">
        <v>2</v>
      </c>
    </row>
    <row r="10" spans="2:9" ht="57.6" customHeight="1" x14ac:dyDescent="0.25">
      <c r="B10" s="4" t="s">
        <v>10</v>
      </c>
      <c r="C10" s="5" t="s">
        <v>11</v>
      </c>
      <c r="D10" s="4" t="s">
        <v>12</v>
      </c>
      <c r="E10" s="4" t="s">
        <v>13</v>
      </c>
      <c r="F10" s="4" t="s">
        <v>14</v>
      </c>
      <c r="H10" s="2">
        <v>3</v>
      </c>
      <c r="I10" s="12">
        <f ca="1">TODAY()</f>
        <v>44755</v>
      </c>
    </row>
    <row r="11" spans="2:9" x14ac:dyDescent="0.25">
      <c r="B11" s="6">
        <v>1</v>
      </c>
      <c r="C11" s="7">
        <f>IF(B11&lt;='Вхідні данні'!$F$16,'Вхідні данні'!$C$24/'Вхідні данні'!$F$16,0)</f>
        <v>14305.514027777777</v>
      </c>
      <c r="D11" s="7">
        <f ca="1">IF(B11&lt;='Вхідні данні'!$E$31,'Вхідні данні'!$C$24*'Вхідні данні'!$C$32/365*('Графік погашення Multistep'!I11-'Графік погашення Multistep'!I10),'Вхідні данні'!$C$24*'Вхідні данні'!$C$26/365*('Графік погашення Multistep'!I11-'Графік погашення Multistep'!I10))</f>
        <v>4.3739599054794525</v>
      </c>
      <c r="E11" s="8">
        <f ca="1">IF(B11&lt;='Вхідні данні'!$F$16,C11+D11,0)</f>
        <v>14309.887987683256</v>
      </c>
      <c r="F11" s="7">
        <f>'Вхідні данні'!$C$24-C11:C12</f>
        <v>500692.99097222224</v>
      </c>
      <c r="H11" s="2">
        <v>4</v>
      </c>
      <c r="I11" s="12">
        <f ca="1">IF(DAY(TODAY())&gt;DAY(DATE(YEAR(TODAY()),MONTH(TODAY())+H8+1,1)-1),DATE(YEAR(TODAY()),MONTH(TODAY())+H8+1,1)-1,DATE(YEAR(TODAY()),MONTH(TODAY())+H8,DAY(TODAY())))</f>
        <v>44786</v>
      </c>
    </row>
    <row r="12" spans="2:9" x14ac:dyDescent="0.25">
      <c r="B12" s="6">
        <v>2</v>
      </c>
      <c r="C12" s="7">
        <f>IF(B12&lt;='Вхідні данні'!$F$16,'Вхідні данні'!$C$24/'Вхідні данні'!$F$16,0)</f>
        <v>14305.514027777777</v>
      </c>
      <c r="D12" s="7">
        <f ca="1">IF(B12&lt;='Вхідні данні'!$E$31,F11*'Вхідні данні'!$C$32/365*(I12-I11),IF(B12&lt;='Вхідні данні'!$F$16,F11*'Вхідні данні'!$C$26/365*(I12-I11),0))</f>
        <v>4.2524610192161347</v>
      </c>
      <c r="E12" s="8">
        <f ca="1">IF(B12&lt;='Вхідні данні'!$F$16,C12+D12,0)</f>
        <v>14309.766488796993</v>
      </c>
      <c r="F12" s="7">
        <f>IF(B12&lt;='Вхідні данні'!$F$16,F11-C12:C13,0)</f>
        <v>486387.47694444447</v>
      </c>
      <c r="H12" s="2">
        <v>5</v>
      </c>
      <c r="I12" s="12">
        <f t="shared" ref="I12:I75" ca="1" si="0">IF(DAY(TODAY())&gt;DAY(DATE(YEAR(TODAY()),MONTH(TODAY())+H9+1,1)-1),DATE(YEAR(TODAY()),MONTH(TODAY())+H9+1,1)-1,DATE(YEAR(TODAY()),MONTH(TODAY())+H9,DAY(TODAY())))</f>
        <v>44817</v>
      </c>
    </row>
    <row r="13" spans="2:9" x14ac:dyDescent="0.25">
      <c r="B13" s="6">
        <v>3</v>
      </c>
      <c r="C13" s="7">
        <f>IF(B13&lt;='Вхідні данні'!$F$16,'Вхідні данні'!$C$24/'Вхідні данні'!$F$16,0)</f>
        <v>14305.514027777777</v>
      </c>
      <c r="D13" s="7">
        <f ca="1">IF(B13&lt;='Вхідні данні'!$E$31,F12*'Вхідні данні'!$C$32/365*(I13-I12),IF(B13&lt;='Вхідні данні'!$F$16,F12*'Вхідні данні'!$C$26/365*(I13-I12),0))</f>
        <v>3.9977052899543377</v>
      </c>
      <c r="E13" s="8">
        <f ca="1">IF(B13&lt;='Вхідні данні'!$F$16,C13+D13,0)</f>
        <v>14309.511733067731</v>
      </c>
      <c r="F13" s="7">
        <f>IF(B13&lt;='Вхідні данні'!$F$16,F12-C13:C14,0)</f>
        <v>472081.9629166667</v>
      </c>
      <c r="H13" s="2">
        <v>6</v>
      </c>
      <c r="I13" s="12">
        <f t="shared" ca="1" si="0"/>
        <v>44847</v>
      </c>
    </row>
    <row r="14" spans="2:9" x14ac:dyDescent="0.25">
      <c r="B14" s="6">
        <v>4</v>
      </c>
      <c r="C14" s="7">
        <f>IF(B14&lt;='Вхідні данні'!$F$16,'Вхідні данні'!$C$24/'Вхідні данні'!$F$16,0)</f>
        <v>14305.514027777777</v>
      </c>
      <c r="D14" s="7">
        <f ca="1">IF(B14&lt;='Вхідні данні'!$E$31,F13*'Вхідні данні'!$C$32/365*(I14-I13),IF(B14&lt;='Вхідні данні'!$F$16,F13*'Вхідні данні'!$C$26/365*(I14-I13),0))</f>
        <v>4.0094632466894984</v>
      </c>
      <c r="E14" s="8">
        <f ca="1">IF(B14&lt;='Вхідні данні'!$F$16,C14+D14,0)</f>
        <v>14309.523491024467</v>
      </c>
      <c r="F14" s="7">
        <f>IF(B14&lt;='Вхідні данні'!$F$16,F13-C14:C15,0)</f>
        <v>457776.44888888893</v>
      </c>
      <c r="H14" s="2">
        <v>7</v>
      </c>
      <c r="I14" s="12">
        <f t="shared" ca="1" si="0"/>
        <v>44878</v>
      </c>
    </row>
    <row r="15" spans="2:9" x14ac:dyDescent="0.25">
      <c r="B15" s="6">
        <v>5</v>
      </c>
      <c r="C15" s="7">
        <f>IF(B15&lt;='Вхідні данні'!$F$16,'Вхідні данні'!$C$24/'Вхідні данні'!$F$16,0)</f>
        <v>14305.514027777777</v>
      </c>
      <c r="D15" s="7">
        <f ca="1">IF(B15&lt;='Вхідні данні'!$E$31,F14*'Вхідні данні'!$C$32/365*(I15-I14),IF(B15&lt;='Вхідні данні'!$F$16,F14*'Вхідні данні'!$C$26/365*(I15-I14),0))</f>
        <v>3.7625461552511421</v>
      </c>
      <c r="E15" s="8">
        <f ca="1">IF(B15&lt;='Вхідні данні'!$F$16,C15+D15,0)</f>
        <v>14309.276573933028</v>
      </c>
      <c r="F15" s="7">
        <f>IF(B15&lt;='Вхідні данні'!$F$16,F14-C15:C16,0)</f>
        <v>443470.93486111116</v>
      </c>
      <c r="H15" s="2">
        <v>8</v>
      </c>
      <c r="I15" s="12">
        <f t="shared" ca="1" si="0"/>
        <v>44908</v>
      </c>
    </row>
    <row r="16" spans="2:9" x14ac:dyDescent="0.25">
      <c r="B16" s="6">
        <v>6</v>
      </c>
      <c r="C16" s="7">
        <f>IF(B16&lt;='Вхідні данні'!$F$16,'Вхідні данні'!$C$24/'Вхідні данні'!$F$16,0)</f>
        <v>14305.514027777777</v>
      </c>
      <c r="D16" s="7">
        <f ca="1">IF(B16&lt;='Вхідні данні'!$E$31,F15*'Вхідні данні'!$C$32/365*(I16-I15),IF(B16&lt;='Вхідні данні'!$F$16,F15*'Вхідні данні'!$C$26/365*(I16-I15),0))</f>
        <v>3.766465474162862</v>
      </c>
      <c r="E16" s="8">
        <f ca="1">IF(B16&lt;='Вхідні данні'!$F$16,C16+D16,0)</f>
        <v>14309.280493251939</v>
      </c>
      <c r="F16" s="7">
        <f>IF(B16&lt;='Вхідні данні'!$F$16,F15-C16:C17,0)</f>
        <v>429165.4208333334</v>
      </c>
      <c r="H16" s="2">
        <v>9</v>
      </c>
      <c r="I16" s="12">
        <f t="shared" ca="1" si="0"/>
        <v>44939</v>
      </c>
    </row>
    <row r="17" spans="2:9" x14ac:dyDescent="0.25">
      <c r="B17" s="6">
        <v>7</v>
      </c>
      <c r="C17" s="7">
        <f>IF(B17&lt;='Вхідні данні'!$F$16,'Вхідні данні'!$C$24/'Вхідні данні'!$F$16,0)</f>
        <v>14305.514027777777</v>
      </c>
      <c r="D17" s="7">
        <f ca="1">IF(B17&lt;='Вхідні данні'!$E$31,F16*'Вхідні данні'!$C$32/365*(I17-I16),IF(B17&lt;='Вхідні данні'!$F$16,F16*'Вхідні данні'!$C$26/365*(I17-I16),0))</f>
        <v>3.6449665878995439</v>
      </c>
      <c r="E17" s="8">
        <f ca="1">IF(B17&lt;='Вхідні данні'!$F$16,C17+D17,0)</f>
        <v>14309.158994365676</v>
      </c>
      <c r="F17" s="7">
        <f>IF(B17&lt;='Вхідні данні'!$F$16,F16-C17:C18,0)</f>
        <v>414859.90680555563</v>
      </c>
      <c r="H17" s="2">
        <v>10</v>
      </c>
      <c r="I17" s="12">
        <f t="shared" ca="1" si="0"/>
        <v>44970</v>
      </c>
    </row>
    <row r="18" spans="2:9" x14ac:dyDescent="0.25">
      <c r="B18" s="6">
        <v>8</v>
      </c>
      <c r="C18" s="7">
        <f>IF(B18&lt;='Вхідні данні'!$F$16,'Вхідні данні'!$C$24/'Вхідні данні'!$F$16,0)</f>
        <v>14305.514027777777</v>
      </c>
      <c r="D18" s="7">
        <f ca="1">IF(B18&lt;='Вхідні данні'!$E$31,F17*'Вхідні данні'!$C$32/365*(I18-I17),IF(B18&lt;='Вхідні данні'!$F$16,F17*'Вхідні данні'!$C$26/365*(I18-I17),0))</f>
        <v>3.1824869563165912</v>
      </c>
      <c r="E18" s="8">
        <f ca="1">IF(B18&lt;='Вхідні данні'!$F$16,C18+D18,0)</f>
        <v>14308.696514734094</v>
      </c>
      <c r="F18" s="7">
        <f>IF(B18&lt;='Вхідні данні'!$F$16,F17-C18:C19,0)</f>
        <v>400554.39277777786</v>
      </c>
      <c r="H18" s="2">
        <v>11</v>
      </c>
      <c r="I18" s="12">
        <f t="shared" ca="1" si="0"/>
        <v>44998</v>
      </c>
    </row>
    <row r="19" spans="2:9" x14ac:dyDescent="0.25">
      <c r="B19" s="6">
        <v>9</v>
      </c>
      <c r="C19" s="7">
        <f>IF(B19&lt;='Вхідні данні'!$F$16,'Вхідні данні'!$C$24/'Вхідні данні'!$F$16,0)</f>
        <v>14305.514027777777</v>
      </c>
      <c r="D19" s="7">
        <f ca="1">IF(B19&lt;='Вхідні данні'!$E$31,F18*'Вхідні данні'!$C$32/365*(I19-I18),IF(B19&lt;='Вхідні данні'!$F$16,F18*'Вхідні данні'!$C$26/365*(I19-I18),0))</f>
        <v>3.401968815372908</v>
      </c>
      <c r="E19" s="8">
        <f ca="1">IF(B19&lt;='Вхідні данні'!$F$16,C19+D19,0)</f>
        <v>14308.91599659315</v>
      </c>
      <c r="F19" s="7">
        <f>IF(B19&lt;='Вхідні данні'!$F$16,F18-C19:C20,0)</f>
        <v>386248.87875000009</v>
      </c>
      <c r="H19" s="2">
        <v>12</v>
      </c>
      <c r="I19" s="12">
        <f t="shared" ca="1" si="0"/>
        <v>45029</v>
      </c>
    </row>
    <row r="20" spans="2:9" x14ac:dyDescent="0.25">
      <c r="B20" s="6">
        <v>10</v>
      </c>
      <c r="C20" s="7">
        <f>IF(B20&lt;='Вхідні данні'!$F$16,'Вхідні данні'!$C$24/'Вхідні данні'!$F$16,0)</f>
        <v>14305.514027777777</v>
      </c>
      <c r="D20" s="7">
        <f ca="1">IF(B20&lt;='Вхідні данні'!$E$31,F19*'Вхідні данні'!$C$32/365*(I20-I19),IF(B20&lt;='Вхідні данні'!$F$16,F19*'Вхідні данні'!$C$26/365*(I20-I19),0))</f>
        <v>3.1746483184931518</v>
      </c>
      <c r="E20" s="8">
        <f ca="1">IF(B20&lt;='Вхідні данні'!$F$16,C20+D20,0)</f>
        <v>14308.68867609627</v>
      </c>
      <c r="F20" s="7">
        <f>IF(B20&lt;='Вхідні данні'!$F$16,F19-C20:C21,0)</f>
        <v>371943.36472222232</v>
      </c>
      <c r="H20" s="2">
        <v>13</v>
      </c>
      <c r="I20" s="12">
        <f t="shared" ca="1" si="0"/>
        <v>45059</v>
      </c>
    </row>
    <row r="21" spans="2:9" x14ac:dyDescent="0.25">
      <c r="B21" s="6">
        <v>11</v>
      </c>
      <c r="C21" s="7">
        <f>IF(B21&lt;='Вхідні данні'!$F$16,'Вхідні данні'!$C$24/'Вхідні данні'!$F$16,0)</f>
        <v>14305.514027777777</v>
      </c>
      <c r="D21" s="7">
        <f ca="1">IF(B21&lt;='Вхідні данні'!$E$31,F20*'Вхідні данні'!$C$32/365*(I21-I20),IF(B21&lt;='Вхідні данні'!$F$16,F20*'Вхідні данні'!$C$26/365*(I21-I20),0))</f>
        <v>3.1589710428462716</v>
      </c>
      <c r="E21" s="8">
        <f ca="1">IF(B21&lt;='Вхідні данні'!$F$16,C21+D21,0)</f>
        <v>14308.672998820624</v>
      </c>
      <c r="F21" s="7">
        <f>IF(B21&lt;='Вхідні данні'!$F$16,F20-C21:C22,0)</f>
        <v>357637.85069444455</v>
      </c>
      <c r="H21" s="2">
        <v>14</v>
      </c>
      <c r="I21" s="12">
        <f t="shared" ca="1" si="0"/>
        <v>45090</v>
      </c>
    </row>
    <row r="22" spans="2:9" x14ac:dyDescent="0.25">
      <c r="B22" s="6">
        <v>12</v>
      </c>
      <c r="C22" s="7">
        <f>IF(B22&lt;='Вхідні данні'!$F$16,'Вхідні данні'!$C$24/'Вхідні данні'!$F$16,0)</f>
        <v>14305.514027777777</v>
      </c>
      <c r="D22" s="7">
        <f ca="1">IF(B22&lt;='Вхідні данні'!$E$31,F21*'Вхідні данні'!$C$32/365*(I22-I21),IF(B22&lt;='Вхідні данні'!$F$16,F21*'Вхідні данні'!$C$26/365*(I22-I21),0))</f>
        <v>2.9394891837899553</v>
      </c>
      <c r="E22" s="8">
        <f ca="1">IF(B22&lt;='Вхідні данні'!$F$16,C22+D22,0)</f>
        <v>14308.453516961566</v>
      </c>
      <c r="F22" s="7">
        <f>IF(B22&lt;='Вхідні данні'!$F$16,F21-C22:C23,0)</f>
        <v>343332.33666666679</v>
      </c>
      <c r="H22" s="2">
        <v>15</v>
      </c>
      <c r="I22" s="12">
        <f t="shared" ca="1" si="0"/>
        <v>45120</v>
      </c>
    </row>
    <row r="23" spans="2:9" x14ac:dyDescent="0.25">
      <c r="B23" s="6">
        <v>13</v>
      </c>
      <c r="C23" s="7">
        <f>IF(B23&lt;='Вхідні данні'!$F$16,'Вхідні данні'!$C$24/'Вхідні данні'!$F$16,0)</f>
        <v>14305.514027777777</v>
      </c>
      <c r="D23" s="7">
        <f ca="1">IF(B23&lt;='Вхідні данні'!$E$31,F22*'Вхідні данні'!$C$32/365*(I23-I22),IF(B23&lt;='Вхідні данні'!$F$16,F22*'Вхідні данні'!$C$26/365*(I23-I22),0))</f>
        <v>1455.0706618894983</v>
      </c>
      <c r="E23" s="8">
        <f ca="1">IF(B23&lt;='Вхідні данні'!$F$16,C23+D23,0)</f>
        <v>15760.584689667276</v>
      </c>
      <c r="F23" s="7">
        <f>IF(B23&lt;='Вхідні данні'!$F$16,F22-C23:C24,0)</f>
        <v>329026.82263888902</v>
      </c>
      <c r="H23" s="2">
        <v>16</v>
      </c>
      <c r="I23" s="12">
        <f t="shared" ca="1" si="0"/>
        <v>45151</v>
      </c>
    </row>
    <row r="24" spans="2:9" x14ac:dyDescent="0.25">
      <c r="B24" s="6">
        <v>14</v>
      </c>
      <c r="C24" s="7">
        <f>IF(B24&lt;='Вхідні данні'!$F$16,'Вхідні данні'!$C$24/'Вхідні данні'!$F$16,0)</f>
        <v>14305.514027777777</v>
      </c>
      <c r="D24" s="7">
        <f ca="1">IF(B24&lt;='Вхідні данні'!$E$31,F23*'Вхідні данні'!$C$32/365*(I24-I23),IF(B24&lt;='Вхідні данні'!$F$16,F23*'Вхідні данні'!$C$26/365*(I24-I23),0))</f>
        <v>1394.4427176441025</v>
      </c>
      <c r="E24" s="8">
        <f ca="1">IF(B24&lt;='Вхідні данні'!$F$16,C24+D24,0)</f>
        <v>15699.95674542188</v>
      </c>
      <c r="F24" s="7">
        <f>IF(B24&lt;='Вхідні данні'!$F$16,F23-C24:C25,0)</f>
        <v>314721.30861111125</v>
      </c>
      <c r="H24" s="2">
        <v>17</v>
      </c>
      <c r="I24" s="12">
        <f t="shared" ca="1" si="0"/>
        <v>45182</v>
      </c>
    </row>
    <row r="25" spans="2:9" x14ac:dyDescent="0.25">
      <c r="B25" s="6">
        <v>15</v>
      </c>
      <c r="C25" s="7">
        <f>IF(B25&lt;='Вхідні данні'!$F$16,'Вхідні данні'!$C$24/'Вхідні данні'!$F$16,0)</f>
        <v>14305.514027777777</v>
      </c>
      <c r="D25" s="7">
        <f ca="1">IF(B25&lt;='Вхідні данні'!$E$31,F24*'Вхідні данні'!$C$32/365*(I25-I24),IF(B25&lt;='Вхідні данні'!$F$16,F24*'Вхідні данні'!$C$26/365*(I25-I24),0))</f>
        <v>1290.7884903858453</v>
      </c>
      <c r="E25" s="8">
        <f ca="1">IF(B25&lt;='Вхідні данні'!$F$16,C25+D25,0)</f>
        <v>15596.302518163622</v>
      </c>
      <c r="F25" s="7">
        <f>IF(B25&lt;='Вхідні данні'!$F$16,F24-C25:C26,0)</f>
        <v>300415.79458333348</v>
      </c>
      <c r="H25" s="2">
        <v>18</v>
      </c>
      <c r="I25" s="12">
        <f t="shared" ca="1" si="0"/>
        <v>45212</v>
      </c>
    </row>
    <row r="26" spans="2:9" x14ac:dyDescent="0.25">
      <c r="B26" s="6">
        <v>16</v>
      </c>
      <c r="C26" s="7">
        <f>IF(B26&lt;='Вхідні данні'!$F$16,'Вхідні данні'!$C$24/'Вхідні данні'!$F$16,0)</f>
        <v>14305.514027777777</v>
      </c>
      <c r="D26" s="7">
        <f ca="1">IF(B26&lt;='Вхідні данні'!$E$31,F25*'Вхідні данні'!$C$32/365*(I26-I25),IF(B26&lt;='Вхідні данні'!$F$16,F25*'Вхідні данні'!$C$26/365*(I26-I25),0))</f>
        <v>1273.186829153311</v>
      </c>
      <c r="E26" s="8">
        <f ca="1">IF(B26&lt;='Вхідні данні'!$F$16,C26+D26,0)</f>
        <v>15578.700856931089</v>
      </c>
      <c r="F26" s="7">
        <f>IF(B26&lt;='Вхідні данні'!$F$16,F25-C26:C27,0)</f>
        <v>286110.28055555571</v>
      </c>
      <c r="H26" s="2">
        <v>19</v>
      </c>
      <c r="I26" s="12">
        <f t="shared" ca="1" si="0"/>
        <v>45243</v>
      </c>
    </row>
    <row r="27" spans="2:9" x14ac:dyDescent="0.25">
      <c r="B27" s="6">
        <v>17</v>
      </c>
      <c r="C27" s="7">
        <f>IF(B27&lt;='Вхідні данні'!$F$16,'Вхідні данні'!$C$24/'Вхідні данні'!$F$16,0)</f>
        <v>14305.514027777777</v>
      </c>
      <c r="D27" s="7">
        <f ca="1">IF(B27&lt;='Вхідні данні'!$E$31,F26*'Вхідні данні'!$C$32/365*(I27-I26),IF(B27&lt;='Вхідні данні'!$F$16,F26*'Вхідні данні'!$C$26/365*(I27-I26),0))</f>
        <v>1173.4440821689504</v>
      </c>
      <c r="E27" s="8">
        <f ca="1">IF(B27&lt;='Вхідні данні'!$F$16,C27+D27,0)</f>
        <v>15478.958109946729</v>
      </c>
      <c r="F27" s="7">
        <f>IF(B27&lt;='Вхідні данні'!$F$16,F26-C27:C28,0)</f>
        <v>271804.76652777795</v>
      </c>
      <c r="H27" s="2">
        <v>20</v>
      </c>
      <c r="I27" s="12">
        <f t="shared" ca="1" si="0"/>
        <v>45273</v>
      </c>
    </row>
    <row r="28" spans="2:9" x14ac:dyDescent="0.25">
      <c r="B28" s="6">
        <v>18</v>
      </c>
      <c r="C28" s="7">
        <f>IF(B28&lt;='Вхідні данні'!$F$16,'Вхідні данні'!$C$24/'Вхідні данні'!$F$16,0)</f>
        <v>14305.514027777777</v>
      </c>
      <c r="D28" s="7">
        <f ca="1">IF(B28&lt;='Вхідні данні'!$E$31,F27*'Вхідні данні'!$C$32/365*(I28-I27),IF(B28&lt;='Вхідні данні'!$F$16,F27*'Вхідні данні'!$C$26/365*(I28-I27),0))</f>
        <v>1151.9309406625198</v>
      </c>
      <c r="E28" s="8">
        <f ca="1">IF(B28&lt;='Вхідні данні'!$F$16,C28+D28,0)</f>
        <v>15457.444968440297</v>
      </c>
      <c r="F28" s="7">
        <f>IF(B28&lt;='Вхідні данні'!$F$16,F27-C28:C29,0)</f>
        <v>257499.25250000018</v>
      </c>
      <c r="H28" s="2">
        <v>21</v>
      </c>
      <c r="I28" s="12">
        <f t="shared" ca="1" si="0"/>
        <v>45304</v>
      </c>
    </row>
    <row r="29" spans="2:9" x14ac:dyDescent="0.25">
      <c r="B29" s="6">
        <v>19</v>
      </c>
      <c r="C29" s="7">
        <f>IF(B29&lt;='Вхідні данні'!$F$16,'Вхідні данні'!$C$24/'Вхідні данні'!$F$16,0)</f>
        <v>14305.514027777777</v>
      </c>
      <c r="D29" s="7">
        <f ca="1">IF(B29&lt;='Вхідні данні'!$E$31,F28*'Вхідні данні'!$C$32/365*(I29-I28),IF(B29&lt;='Вхідні данні'!$F$16,F28*'Вхідні данні'!$C$26/365*(I29-I28),0))</f>
        <v>1091.3029964171239</v>
      </c>
      <c r="E29" s="8">
        <f ca="1">IF(B29&lt;='Вхідні данні'!$F$16,C29+D29,0)</f>
        <v>15396.817024194901</v>
      </c>
      <c r="F29" s="7">
        <f>IF(B29&lt;='Вхідні данні'!$F$16,F28-C29:C30,0)</f>
        <v>243193.73847222241</v>
      </c>
      <c r="H29" s="2">
        <v>22</v>
      </c>
      <c r="I29" s="12">
        <f t="shared" ca="1" si="0"/>
        <v>45335</v>
      </c>
    </row>
    <row r="30" spans="2:9" x14ac:dyDescent="0.25">
      <c r="B30" s="6">
        <v>20</v>
      </c>
      <c r="C30" s="7">
        <f>IF(B30&lt;='Вхідні данні'!$F$16,'Вхідні данні'!$C$24/'Вхідні данні'!$F$16,0)</f>
        <v>14305.514027777777</v>
      </c>
      <c r="D30" s="7">
        <f ca="1">IF(B30&lt;='Вхідні данні'!$E$31,F29*'Вхідні данні'!$C$32/365*(I30-I29),IF(B30&lt;='Вхідні данні'!$F$16,F29*'Вхідні данні'!$C$26/365*(I30-I29),0))</f>
        <v>964.17988751548774</v>
      </c>
      <c r="E30" s="8">
        <f ca="1">IF(B30&lt;='Вхідні данні'!$F$16,C30+D30,0)</f>
        <v>15269.693915293265</v>
      </c>
      <c r="F30" s="7">
        <f>IF(B30&lt;='Вхідні данні'!$F$16,F29-C30:C31,0)</f>
        <v>228888.22444444464</v>
      </c>
      <c r="H30" s="2">
        <v>23</v>
      </c>
      <c r="I30" s="12">
        <f t="shared" ca="1" si="0"/>
        <v>45364</v>
      </c>
    </row>
    <row r="31" spans="2:9" x14ac:dyDescent="0.25">
      <c r="B31" s="6">
        <v>21</v>
      </c>
      <c r="C31" s="7">
        <f>IF(B31&lt;='Вхідні данні'!$F$16,'Вхідні данні'!$C$24/'Вхідні данні'!$F$16,0)</f>
        <v>14305.514027777777</v>
      </c>
      <c r="D31" s="7">
        <f ca="1">IF(B31&lt;='Вхідні данні'!$E$31,F30*'Вхідні данні'!$C$32/365*(I31-I30),IF(B31&lt;='Вхідні данні'!$F$16,F30*'Вхідні данні'!$C$26/365*(I31-I30),0))</f>
        <v>970.04710792633273</v>
      </c>
      <c r="E31" s="8">
        <f ca="1">IF(B31&lt;='Вхідні данні'!$F$16,C31+D31,0)</f>
        <v>15275.561135704111</v>
      </c>
      <c r="F31" s="7">
        <f>IF(B31&lt;='Вхідні данні'!$F$16,F30-C31:C32,0)</f>
        <v>214582.71041666687</v>
      </c>
      <c r="H31" s="2">
        <v>24</v>
      </c>
      <c r="I31" s="12">
        <f t="shared" ca="1" si="0"/>
        <v>45395</v>
      </c>
    </row>
    <row r="32" spans="2:9" x14ac:dyDescent="0.25">
      <c r="B32" s="6">
        <v>22</v>
      </c>
      <c r="C32" s="7">
        <f>IF(B32&lt;='Вхідні данні'!$F$16,'Вхідні данні'!$C$24/'Вхідні данні'!$F$16,0)</f>
        <v>14305.514027777777</v>
      </c>
      <c r="D32" s="7">
        <f ca="1">IF(B32&lt;='Вхідні данні'!$E$31,F31*'Вхідні данні'!$C$32/365*(I32-I31),IF(B32&lt;='Вхідні данні'!$F$16,F31*'Вхідні данні'!$C$26/365*(I32-I31),0))</f>
        <v>880.08306162671317</v>
      </c>
      <c r="E32" s="8">
        <f ca="1">IF(B32&lt;='Вхідні данні'!$F$16,C32+D32,0)</f>
        <v>15185.597089404491</v>
      </c>
      <c r="F32" s="7">
        <f>IF(B32&lt;='Вхідні данні'!$F$16,F31-C32:C33,0)</f>
        <v>200277.1963888891</v>
      </c>
      <c r="H32" s="2">
        <v>25</v>
      </c>
      <c r="I32" s="12">
        <f t="shared" ca="1" si="0"/>
        <v>45425</v>
      </c>
    </row>
    <row r="33" spans="2:9" x14ac:dyDescent="0.25">
      <c r="B33" s="6">
        <v>23</v>
      </c>
      <c r="C33" s="7">
        <f>IF(B33&lt;='Вхідні данні'!$F$16,'Вхідні данні'!$C$24/'Вхідні данні'!$F$16,0)</f>
        <v>14305.514027777777</v>
      </c>
      <c r="D33" s="7">
        <f ca="1">IF(B33&lt;='Вхідні данні'!$E$31,F32*'Вхідні данні'!$C$32/365*(I33-I32),IF(B33&lt;='Вхідні данні'!$F$16,F32*'Вхідні данні'!$C$26/365*(I33-I32),0))</f>
        <v>848.79121943554117</v>
      </c>
      <c r="E33" s="8">
        <f ca="1">IF(B33&lt;='Вхідні данні'!$F$16,C33+D33,0)</f>
        <v>15154.305247213319</v>
      </c>
      <c r="F33" s="7">
        <f>IF(B33&lt;='Вхідні данні'!$F$16,F32-C33:C34,0)</f>
        <v>185971.68236111134</v>
      </c>
      <c r="H33" s="2">
        <v>26</v>
      </c>
      <c r="I33" s="12">
        <f t="shared" ca="1" si="0"/>
        <v>45456</v>
      </c>
    </row>
    <row r="34" spans="2:9" x14ac:dyDescent="0.25">
      <c r="B34" s="6">
        <v>24</v>
      </c>
      <c r="C34" s="7">
        <f>IF(B34&lt;='Вхідні данні'!$F$16,'Вхідні данні'!$C$24/'Вхідні данні'!$F$16,0)</f>
        <v>14305.514027777777</v>
      </c>
      <c r="D34" s="7">
        <f ca="1">IF(B34&lt;='Вхідні данні'!$E$31,F33*'Вхідні данні'!$C$32/365*(I34-I33),IF(B34&lt;='Вхідні данні'!$F$16,F33*'Вхідні данні'!$C$26/365*(I34-I33),0))</f>
        <v>762.7386534098182</v>
      </c>
      <c r="E34" s="8">
        <f ca="1">IF(B34&lt;='Вхідні данні'!$F$16,C34+D34,0)</f>
        <v>15068.252681187596</v>
      </c>
      <c r="F34" s="7">
        <f>IF(B34&lt;='Вхідні данні'!$F$16,F33-C34:C35,0)</f>
        <v>171666.16833333357</v>
      </c>
      <c r="H34" s="2">
        <v>27</v>
      </c>
      <c r="I34" s="12">
        <f t="shared" ca="1" si="0"/>
        <v>45486</v>
      </c>
    </row>
    <row r="35" spans="2:9" x14ac:dyDescent="0.25">
      <c r="B35" s="6">
        <v>25</v>
      </c>
      <c r="C35" s="7">
        <f>IF(B35&lt;='Вхідні данні'!$F$16,'Вхідні данні'!$C$24/'Вхідні данні'!$F$16,0)</f>
        <v>14305.514027777777</v>
      </c>
      <c r="D35" s="7">
        <f ca="1">IF(B35&lt;='Вхідні данні'!$E$31,F34*'Вхідні данні'!$C$32/365*(I35-I34),IF(B35&lt;='Вхідні данні'!$F$16,F34*'Вхідні данні'!$C$26/365*(I35-I34),0))</f>
        <v>727.53533094474983</v>
      </c>
      <c r="E35" s="8">
        <f ca="1">IF(B35&lt;='Вхідні данні'!$F$16,C35+D35,0)</f>
        <v>15033.049358722526</v>
      </c>
      <c r="F35" s="7">
        <f>IF(B35&lt;='Вхідні данні'!$F$16,F34-C35:C36,0)</f>
        <v>157360.6543055558</v>
      </c>
      <c r="H35" s="2">
        <v>28</v>
      </c>
      <c r="I35" s="12">
        <f t="shared" ca="1" si="0"/>
        <v>45517</v>
      </c>
    </row>
    <row r="36" spans="2:9" x14ac:dyDescent="0.25">
      <c r="B36" s="6">
        <v>26</v>
      </c>
      <c r="C36" s="7">
        <f>IF(B36&lt;='Вхідні данні'!$F$16,'Вхідні данні'!$C$24/'Вхідні данні'!$F$16,0)</f>
        <v>14305.514027777777</v>
      </c>
      <c r="D36" s="7">
        <f ca="1">IF(B36&lt;='Вхідні данні'!$E$31,F35*'Вхідні данні'!$C$32/365*(I36-I35),IF(B36&lt;='Вхідні данні'!$F$16,F35*'Вхідні данні'!$C$26/365*(I36-I35),0))</f>
        <v>666.90738669935411</v>
      </c>
      <c r="E36" s="8">
        <f ca="1">IF(B36&lt;='Вхідні данні'!$F$16,C36+D36,0)</f>
        <v>14972.421414477132</v>
      </c>
      <c r="F36" s="7">
        <f>IF(B36&lt;='Вхідні данні'!$F$16,F35-C36:C37,0)</f>
        <v>143055.14027777803</v>
      </c>
      <c r="H36" s="2">
        <v>29</v>
      </c>
      <c r="I36" s="12">
        <f t="shared" ca="1" si="0"/>
        <v>45548</v>
      </c>
    </row>
    <row r="37" spans="2:9" x14ac:dyDescent="0.25">
      <c r="B37" s="6">
        <v>27</v>
      </c>
      <c r="C37" s="7">
        <f>IF(B37&lt;='Вхідні данні'!$F$16,'Вхідні данні'!$C$24/'Вхідні данні'!$F$16,0)</f>
        <v>14305.514027777777</v>
      </c>
      <c r="D37" s="7">
        <f ca="1">IF(B37&lt;='Вхідні данні'!$E$31,F36*'Вхідні данні'!$C$32/365*(I37-I36),IF(B37&lt;='Вхідні данні'!$F$16,F36*'Вхідні данні'!$C$26/365*(I37-I36),0))</f>
        <v>586.7220410844759</v>
      </c>
      <c r="E37" s="8">
        <f ca="1">IF(B37&lt;='Вхідні данні'!$F$16,C37+D37,0)</f>
        <v>14892.236068862254</v>
      </c>
      <c r="F37" s="7">
        <f>IF(B37&lt;='Вхідні данні'!$F$16,F36-C37:C38,0)</f>
        <v>128749.62625000025</v>
      </c>
      <c r="H37" s="2">
        <v>30</v>
      </c>
      <c r="I37" s="12">
        <f t="shared" ca="1" si="0"/>
        <v>45578</v>
      </c>
    </row>
    <row r="38" spans="2:9" x14ac:dyDescent="0.25">
      <c r="B38" s="6">
        <v>28</v>
      </c>
      <c r="C38" s="7">
        <f>IF(B38&lt;='Вхідні данні'!$F$16,'Вхідні данні'!$C$24/'Вхідні данні'!$F$16,0)</f>
        <v>14305.514027777777</v>
      </c>
      <c r="D38" s="7">
        <f ca="1">IF(B38&lt;='Вхідні данні'!$E$31,F37*'Вхідні данні'!$C$32/365*(I38-I37),IF(B38&lt;='Вхідні данні'!$F$16,F37*'Вхідні данні'!$C$26/365*(I38-I37),0))</f>
        <v>545.65149820856266</v>
      </c>
      <c r="E38" s="8">
        <f ca="1">IF(B38&lt;='Вхідні данні'!$F$16,C38+D38,0)</f>
        <v>14851.16552598634</v>
      </c>
      <c r="F38" s="7">
        <f>IF(B38&lt;='Вхідні данні'!$F$16,F37-C38:C39,0)</f>
        <v>114444.11222222247</v>
      </c>
      <c r="H38" s="2">
        <v>31</v>
      </c>
      <c r="I38" s="12">
        <f t="shared" ca="1" si="0"/>
        <v>45609</v>
      </c>
    </row>
    <row r="39" spans="2:9" x14ac:dyDescent="0.25">
      <c r="B39" s="6">
        <v>29</v>
      </c>
      <c r="C39" s="7">
        <f>IF(B39&lt;='Вхідні данні'!$F$16,'Вхідні данні'!$C$24/'Вхідні данні'!$F$16,0)</f>
        <v>14305.514027777777</v>
      </c>
      <c r="D39" s="7">
        <f ca="1">IF(B39&lt;='Вхідні данні'!$E$31,F38*'Вхідні данні'!$C$32/365*(I39-I38),IF(B39&lt;='Вхідні данні'!$F$16,F38*'Вхідні данні'!$C$26/365*(I39-I38),0))</f>
        <v>469.37763286758087</v>
      </c>
      <c r="E39" s="8">
        <f ca="1">IF(B39&lt;='Вхідні данні'!$F$16,C39+D39,0)</f>
        <v>14774.891660645359</v>
      </c>
      <c r="F39" s="7">
        <f>IF(B39&lt;='Вхідні данні'!$F$16,F38-C39:C40,0)</f>
        <v>100138.59819444468</v>
      </c>
      <c r="H39" s="2">
        <v>32</v>
      </c>
      <c r="I39" s="12">
        <f t="shared" ca="1" si="0"/>
        <v>45639</v>
      </c>
    </row>
    <row r="40" spans="2:9" x14ac:dyDescent="0.25">
      <c r="B40" s="6">
        <v>30</v>
      </c>
      <c r="C40" s="7">
        <f>IF(B40&lt;='Вхідні данні'!$F$16,'Вхідні данні'!$C$24/'Вхідні данні'!$F$16,0)</f>
        <v>14305.514027777777</v>
      </c>
      <c r="D40" s="7">
        <f ca="1">IF(B40&lt;='Вхідні данні'!$E$31,F39*'Вхідні данні'!$C$32/365*(I40-I39),IF(B40&lt;='Вхідні данні'!$F$16,F39*'Вхідні данні'!$C$26/365*(I40-I39),0))</f>
        <v>424.39560971777115</v>
      </c>
      <c r="E40" s="8">
        <f ca="1">IF(B40&lt;='Вхідні данні'!$F$16,C40+D40,0)</f>
        <v>14729.909637495548</v>
      </c>
      <c r="F40" s="7">
        <f>IF(B40&lt;='Вхідні данні'!$F$16,F39-C40:C41,0)</f>
        <v>85833.0841666669</v>
      </c>
      <c r="H40" s="2">
        <v>33</v>
      </c>
      <c r="I40" s="12">
        <f t="shared" ca="1" si="0"/>
        <v>45670</v>
      </c>
    </row>
    <row r="41" spans="2:9" x14ac:dyDescent="0.25">
      <c r="B41" s="6">
        <v>31</v>
      </c>
      <c r="C41" s="7">
        <f>IF(B41&lt;='Вхідні данні'!$F$16,'Вхідні данні'!$C$24/'Вхідні данні'!$F$16,0)</f>
        <v>14305.514027777777</v>
      </c>
      <c r="D41" s="7">
        <f ca="1">IF(B41&lt;='Вхідні данні'!$E$31,F40*'Вхідні данні'!$C$32/365*(I41-I40),IF(B41&lt;='Вхідні данні'!$F$16,F40*'Вхідні данні'!$C$26/365*(I41-I40),0))</f>
        <v>363.76766547237543</v>
      </c>
      <c r="E41" s="8">
        <f ca="1">IF(B41&lt;='Вхідні данні'!$F$16,C41+D41,0)</f>
        <v>14669.281693250152</v>
      </c>
      <c r="F41" s="7">
        <f>IF(B41&lt;='Вхідні данні'!$F$16,F40-C41:C42,0)</f>
        <v>71527.570138889118</v>
      </c>
      <c r="H41" s="2">
        <v>34</v>
      </c>
      <c r="I41" s="12">
        <f t="shared" ca="1" si="0"/>
        <v>45701</v>
      </c>
    </row>
    <row r="42" spans="2:9" x14ac:dyDescent="0.25">
      <c r="B42" s="6">
        <v>32</v>
      </c>
      <c r="C42" s="7">
        <f>IF(B42&lt;='Вхідні данні'!$F$16,'Вхідні данні'!$C$24/'Вхідні данні'!$F$16,0)</f>
        <v>14305.514027777777</v>
      </c>
      <c r="D42" s="7">
        <f ca="1">IF(B42&lt;='Вхідні данні'!$E$31,F41*'Вхідні данні'!$C$32/365*(I42-I41),IF(B42&lt;='Вхідні данні'!$F$16,F41*'Вхідні данні'!$C$26/365*(I42-I41),0))</f>
        <v>273.80361917275582</v>
      </c>
      <c r="E42" s="8">
        <f ca="1">IF(B42&lt;='Вхідні данні'!$F$16,C42+D42,0)</f>
        <v>14579.317646950532</v>
      </c>
      <c r="F42" s="7">
        <f>IF(B42&lt;='Вхідні данні'!$F$16,F41-C42:C43,0)</f>
        <v>57222.056111111342</v>
      </c>
      <c r="H42" s="2">
        <v>35</v>
      </c>
      <c r="I42" s="12">
        <f t="shared" ca="1" si="0"/>
        <v>45729</v>
      </c>
    </row>
    <row r="43" spans="2:9" x14ac:dyDescent="0.25">
      <c r="B43" s="6">
        <v>33</v>
      </c>
      <c r="C43" s="7">
        <f>IF(B43&lt;='Вхідні данні'!$F$16,'Вхідні данні'!$C$24/'Вхідні данні'!$F$16,0)</f>
        <v>14305.514027777777</v>
      </c>
      <c r="D43" s="7">
        <f ca="1">IF(B43&lt;='Вхідні данні'!$E$31,F42*'Вхідні данні'!$C$32/365*(I43-I42),IF(B43&lt;='Вхідні данні'!$F$16,F42*'Вхідні данні'!$C$26/365*(I43-I42),0))</f>
        <v>242.51177698158392</v>
      </c>
      <c r="E43" s="8">
        <f ca="1">IF(B43&lt;='Вхідні данні'!$F$16,C43+D43,0)</f>
        <v>14548.025804759362</v>
      </c>
      <c r="F43" s="7">
        <f>IF(B43&lt;='Вхідні данні'!$F$16,F42-C43:C44,0)</f>
        <v>42916.542083333567</v>
      </c>
      <c r="H43" s="2">
        <v>36</v>
      </c>
      <c r="I43" s="12">
        <f t="shared" ca="1" si="0"/>
        <v>45760</v>
      </c>
    </row>
    <row r="44" spans="2:9" x14ac:dyDescent="0.25">
      <c r="B44" s="6">
        <v>34</v>
      </c>
      <c r="C44" s="7">
        <f>IF(B44&lt;='Вхідні данні'!$F$16,'Вхідні данні'!$C$24/'Вхідні данні'!$F$16,0)</f>
        <v>14305.514027777777</v>
      </c>
      <c r="D44" s="7">
        <f ca="1">IF(B44&lt;='Вхідні данні'!$E$31,F43*'Вхідні данні'!$C$32/365*(I44-I43),IF(B44&lt;='Вхідні данні'!$F$16,F43*'Вхідні данні'!$C$26/365*(I44-I43),0))</f>
        <v>176.01661232534343</v>
      </c>
      <c r="E44" s="8">
        <f ca="1">IF(B44&lt;='Вхідні данні'!$F$16,C44+D44,0)</f>
        <v>14481.530640103121</v>
      </c>
      <c r="F44" s="7">
        <f>IF(B44&lt;='Вхідні данні'!$F$16,F43-C44:C45,0)</f>
        <v>28611.028055555791</v>
      </c>
      <c r="H44" s="2">
        <v>37</v>
      </c>
      <c r="I44" s="12">
        <f t="shared" ca="1" si="0"/>
        <v>45790</v>
      </c>
    </row>
    <row r="45" spans="2:9" x14ac:dyDescent="0.25">
      <c r="B45" s="6">
        <v>35</v>
      </c>
      <c r="C45" s="7">
        <f>IF(B45&lt;='Вхідні данні'!$F$16,'Вхідні данні'!$C$24/'Вхідні данні'!$F$16,0)</f>
        <v>14305.514027777777</v>
      </c>
      <c r="D45" s="7">
        <f ca="1">IF(B45&lt;='Вхідні данні'!$E$31,F44*'Вхідні данні'!$C$32/365*(I45-I44),IF(B45&lt;='Вхідні данні'!$F$16,F44*'Вхідні данні'!$C$26/365*(I45-I44),0))</f>
        <v>121.25588849079249</v>
      </c>
      <c r="E45" s="8">
        <f ca="1">IF(B45&lt;='Вхідні данні'!$F$16,C45+D45,0)</f>
        <v>14426.769916268569</v>
      </c>
      <c r="F45" s="7">
        <f>IF(B45&lt;='Вхідні данні'!$F$16,F44-C45:C46,0)</f>
        <v>14305.514027778014</v>
      </c>
      <c r="H45" s="2">
        <v>38</v>
      </c>
      <c r="I45" s="12">
        <f t="shared" ca="1" si="0"/>
        <v>45821</v>
      </c>
    </row>
    <row r="46" spans="2:9" x14ac:dyDescent="0.25">
      <c r="B46" s="6">
        <v>36</v>
      </c>
      <c r="C46" s="7">
        <f>IF(B46&lt;='Вхідні данні'!$F$16,'Вхідні данні'!$C$24/'Вхідні данні'!$F$16,0)</f>
        <v>14305.514027777777</v>
      </c>
      <c r="D46" s="7">
        <f ca="1">IF(B46&lt;='Вхідні данні'!$E$31,F45*'Вхідні данні'!$C$32/365*(I46-I45),IF(B46&lt;='Вхідні данні'!$F$16,F45*'Вхідні данні'!$C$26/365*(I46-I45),0))</f>
        <v>58.672204108448462</v>
      </c>
      <c r="E46" s="8">
        <f ca="1">IF(B46&lt;='Вхідні данні'!$F$16,C46+D46,0)</f>
        <v>14364.186231886226</v>
      </c>
      <c r="F46" s="7">
        <f>IF(B46&lt;='Вхідні данні'!$F$16,F45-C46:C47,0)</f>
        <v>2.3646862246096134E-10</v>
      </c>
      <c r="H46" s="2">
        <v>39</v>
      </c>
      <c r="I46" s="12">
        <f t="shared" ca="1" si="0"/>
        <v>45851</v>
      </c>
    </row>
    <row r="47" spans="2:9" x14ac:dyDescent="0.25">
      <c r="B47" s="6">
        <v>37</v>
      </c>
      <c r="C47" s="7">
        <f>IF(B47&lt;='Вхідні данні'!$F$16,'Вхідні данні'!$C$24/'Вхідні данні'!$F$16,0)</f>
        <v>0</v>
      </c>
      <c r="D47" s="7">
        <f>IF(B47&lt;='Вхідні данні'!$E$31,F46*'Вхідні данні'!$C$32/365*(I47-I46),IF(B47&lt;='Вхідні данні'!$F$16,F46*'Вхідні данні'!$C$26/365*(I47-I46),0))</f>
        <v>0</v>
      </c>
      <c r="E47" s="8">
        <f>IF(B47&lt;='Вхідні данні'!$F$16,C47+D47,0)</f>
        <v>0</v>
      </c>
      <c r="F47" s="7">
        <f>IF(B47&lt;='Вхідні данні'!$F$16,F46-C47:C48,0)</f>
        <v>0</v>
      </c>
      <c r="H47" s="2">
        <v>40</v>
      </c>
      <c r="I47" s="12">
        <f t="shared" ca="1" si="0"/>
        <v>45882</v>
      </c>
    </row>
    <row r="48" spans="2:9" x14ac:dyDescent="0.25">
      <c r="B48" s="6">
        <v>38</v>
      </c>
      <c r="C48" s="7">
        <f>IF(B48&lt;='Вхідні данні'!$F$16,'Вхідні данні'!$C$24/'Вхідні данні'!$F$16,0)</f>
        <v>0</v>
      </c>
      <c r="D48" s="7">
        <f>IF(B48&lt;='Вхідні данні'!$E$31,F47*'Вхідні данні'!$C$32/365*(I48-I47),IF(B48&lt;='Вхідні данні'!$F$16,F47*'Вхідні данні'!$C$26/365*(I48-I47),0))</f>
        <v>0</v>
      </c>
      <c r="E48" s="8">
        <f>IF(B48&lt;='Вхідні данні'!$F$16,C48+D48,0)</f>
        <v>0</v>
      </c>
      <c r="F48" s="7">
        <f>IF(B48&lt;='Вхідні данні'!$F$16,F47-C48:C49,0)</f>
        <v>0</v>
      </c>
      <c r="H48" s="2">
        <v>41</v>
      </c>
      <c r="I48" s="12">
        <f t="shared" ca="1" si="0"/>
        <v>45913</v>
      </c>
    </row>
    <row r="49" spans="2:9" x14ac:dyDescent="0.25">
      <c r="B49" s="6">
        <v>39</v>
      </c>
      <c r="C49" s="7">
        <f>IF(B49&lt;='Вхідні данні'!$F$16,'Вхідні данні'!$C$24/'Вхідні данні'!$F$16,0)</f>
        <v>0</v>
      </c>
      <c r="D49" s="7">
        <f>IF(B49&lt;='Вхідні данні'!$E$31,F48*'Вхідні данні'!$C$32/365*(I49-I48),IF(B49&lt;='Вхідні данні'!$F$16,F48*'Вхідні данні'!$C$26/365*(I49-I48),0))</f>
        <v>0</v>
      </c>
      <c r="E49" s="8">
        <f>IF(B49&lt;='Вхідні данні'!$F$16,C49+D49,0)</f>
        <v>0</v>
      </c>
      <c r="F49" s="7">
        <f>IF(B49&lt;='Вхідні данні'!$F$16,F48-C49:C50,0)</f>
        <v>0</v>
      </c>
      <c r="H49" s="2">
        <v>42</v>
      </c>
      <c r="I49" s="12">
        <f t="shared" ca="1" si="0"/>
        <v>45943</v>
      </c>
    </row>
    <row r="50" spans="2:9" x14ac:dyDescent="0.25">
      <c r="B50" s="6">
        <v>40</v>
      </c>
      <c r="C50" s="7">
        <f>IF(B50&lt;='Вхідні данні'!$F$16,'Вхідні данні'!$C$24/'Вхідні данні'!$F$16,0)</f>
        <v>0</v>
      </c>
      <c r="D50" s="7">
        <f>IF(B50&lt;='Вхідні данні'!$E$31,F49*'Вхідні данні'!$C$32/365*(I50-I49),IF(B50&lt;='Вхідні данні'!$F$16,F49*'Вхідні данні'!$C$26/365*(I50-I49),0))</f>
        <v>0</v>
      </c>
      <c r="E50" s="8">
        <f>IF(B50&lt;='Вхідні данні'!$F$16,C50+D50,0)</f>
        <v>0</v>
      </c>
      <c r="F50" s="7">
        <f>IF(B50&lt;='Вхідні данні'!$F$16,F49-C50:C51,0)</f>
        <v>0</v>
      </c>
      <c r="H50" s="2">
        <v>43</v>
      </c>
      <c r="I50" s="12">
        <f t="shared" ca="1" si="0"/>
        <v>45974</v>
      </c>
    </row>
    <row r="51" spans="2:9" x14ac:dyDescent="0.25">
      <c r="B51" s="6">
        <v>41</v>
      </c>
      <c r="C51" s="7">
        <f>IF(B51&lt;='Вхідні данні'!$F$16,'Вхідні данні'!$C$24/'Вхідні данні'!$F$16,0)</f>
        <v>0</v>
      </c>
      <c r="D51" s="7">
        <f>IF(B51&lt;='Вхідні данні'!$E$31,F50*'Вхідні данні'!$C$32/365*(I51-I50),IF(B51&lt;='Вхідні данні'!$F$16,F50*'Вхідні данні'!$C$26/365*(I51-I50),0))</f>
        <v>0</v>
      </c>
      <c r="E51" s="8">
        <f>IF(B51&lt;='Вхідні данні'!$F$16,C51+D51,0)</f>
        <v>0</v>
      </c>
      <c r="F51" s="7">
        <f>IF(B51&lt;='Вхідні данні'!$F$16,F50-C51:C52,0)</f>
        <v>0</v>
      </c>
      <c r="H51" s="2">
        <v>44</v>
      </c>
      <c r="I51" s="12">
        <f t="shared" ca="1" si="0"/>
        <v>46004</v>
      </c>
    </row>
    <row r="52" spans="2:9" x14ac:dyDescent="0.25">
      <c r="B52" s="6">
        <v>42</v>
      </c>
      <c r="C52" s="7">
        <f>IF(B52&lt;='Вхідні данні'!$F$16,'Вхідні данні'!$C$24/'Вхідні данні'!$F$16,0)</f>
        <v>0</v>
      </c>
      <c r="D52" s="7">
        <f>IF(B52&lt;='Вхідні данні'!$E$31,F51*'Вхідні данні'!$C$32/365*(I52-I51),IF(B52&lt;='Вхідні данні'!$F$16,F51*'Вхідні данні'!$C$26/365*(I52-I51),0))</f>
        <v>0</v>
      </c>
      <c r="E52" s="8">
        <f>IF(B52&lt;='Вхідні данні'!$F$16,C52+D52,0)</f>
        <v>0</v>
      </c>
      <c r="F52" s="7">
        <f>IF(B52&lt;='Вхідні данні'!$F$16,F51-C52:C53,0)</f>
        <v>0</v>
      </c>
      <c r="H52" s="2">
        <v>45</v>
      </c>
      <c r="I52" s="12">
        <f t="shared" ca="1" si="0"/>
        <v>46035</v>
      </c>
    </row>
    <row r="53" spans="2:9" x14ac:dyDescent="0.25">
      <c r="B53" s="6">
        <v>43</v>
      </c>
      <c r="C53" s="7">
        <f>IF(B53&lt;='Вхідні данні'!$F$16,'Вхідні данні'!$C$24/'Вхідні данні'!$F$16,0)</f>
        <v>0</v>
      </c>
      <c r="D53" s="7">
        <f>IF(B53&lt;='Вхідні данні'!$E$31,F52*'Вхідні данні'!$C$32/365*(I53-I52),IF(B53&lt;='Вхідні данні'!$F$16,F52*'Вхідні данні'!$C$26/365*(I53-I52),0))</f>
        <v>0</v>
      </c>
      <c r="E53" s="8">
        <f>IF(B53&lt;='Вхідні данні'!$F$16,C53+D53,0)</f>
        <v>0</v>
      </c>
      <c r="F53" s="7">
        <f>IF(B53&lt;='Вхідні данні'!$F$16,F52-C53:C54,0)</f>
        <v>0</v>
      </c>
      <c r="H53" s="2">
        <v>46</v>
      </c>
      <c r="I53" s="12">
        <f t="shared" ca="1" si="0"/>
        <v>46066</v>
      </c>
    </row>
    <row r="54" spans="2:9" x14ac:dyDescent="0.25">
      <c r="B54" s="6">
        <v>44</v>
      </c>
      <c r="C54" s="7">
        <f>IF(B54&lt;='Вхідні данні'!$F$16,'Вхідні данні'!$C$24/'Вхідні данні'!$F$16,0)</f>
        <v>0</v>
      </c>
      <c r="D54" s="7">
        <f>IF(B54&lt;='Вхідні данні'!$E$31,F53*'Вхідні данні'!$C$32/365*(I54-I53),IF(B54&lt;='Вхідні данні'!$F$16,F53*'Вхідні данні'!$C$26/365*(I54-I53),0))</f>
        <v>0</v>
      </c>
      <c r="E54" s="8">
        <f>IF(B54&lt;='Вхідні данні'!$F$16,C54+D54,0)</f>
        <v>0</v>
      </c>
      <c r="F54" s="7">
        <f>IF(B54&lt;='Вхідні данні'!$F$16,F53-C54:C55,0)</f>
        <v>0</v>
      </c>
      <c r="H54" s="2">
        <v>47</v>
      </c>
      <c r="I54" s="12">
        <f t="shared" ca="1" si="0"/>
        <v>46094</v>
      </c>
    </row>
    <row r="55" spans="2:9" x14ac:dyDescent="0.25">
      <c r="B55" s="6">
        <v>45</v>
      </c>
      <c r="C55" s="7">
        <f>IF(B55&lt;='Вхідні данні'!$F$16,'Вхідні данні'!$C$24/'Вхідні данні'!$F$16,0)</f>
        <v>0</v>
      </c>
      <c r="D55" s="7">
        <f>IF(B55&lt;='Вхідні данні'!$E$31,F54*'Вхідні данні'!$C$32/365*(I55-I54),IF(B55&lt;='Вхідні данні'!$F$16,F54*'Вхідні данні'!$C$26/365*(I55-I54),0))</f>
        <v>0</v>
      </c>
      <c r="E55" s="8">
        <f>IF(B55&lt;='Вхідні данні'!$F$16,C55+D55,0)</f>
        <v>0</v>
      </c>
      <c r="F55" s="7">
        <f>IF(B55&lt;='Вхідні данні'!$F$16,F54-C55:C56,0)</f>
        <v>0</v>
      </c>
      <c r="H55" s="2">
        <v>48</v>
      </c>
      <c r="I55" s="12">
        <f t="shared" ca="1" si="0"/>
        <v>46125</v>
      </c>
    </row>
    <row r="56" spans="2:9" x14ac:dyDescent="0.25">
      <c r="B56" s="6">
        <v>46</v>
      </c>
      <c r="C56" s="7">
        <f>IF(B56&lt;='Вхідні данні'!$F$16,'Вхідні данні'!$C$24/'Вхідні данні'!$F$16,0)</f>
        <v>0</v>
      </c>
      <c r="D56" s="7">
        <f>IF(B56&lt;='Вхідні данні'!$E$31,F55*'Вхідні данні'!$C$32/365*(I56-I55),IF(B56&lt;='Вхідні данні'!$F$16,F55*'Вхідні данні'!$C$26/365*(I56-I55),0))</f>
        <v>0</v>
      </c>
      <c r="E56" s="8">
        <f>IF(B56&lt;='Вхідні данні'!$F$16,C56+D56,0)</f>
        <v>0</v>
      </c>
      <c r="F56" s="7">
        <f>IF(B56&lt;='Вхідні данні'!$F$16,F55-C56:C57,0)</f>
        <v>0</v>
      </c>
      <c r="H56" s="2">
        <v>49</v>
      </c>
      <c r="I56" s="12">
        <f t="shared" ca="1" si="0"/>
        <v>46155</v>
      </c>
    </row>
    <row r="57" spans="2:9" x14ac:dyDescent="0.25">
      <c r="B57" s="6">
        <v>47</v>
      </c>
      <c r="C57" s="7">
        <f>IF(B57&lt;='Вхідні данні'!$F$16,'Вхідні данні'!$C$24/'Вхідні данні'!$F$16,0)</f>
        <v>0</v>
      </c>
      <c r="D57" s="7">
        <f>IF(B57&lt;='Вхідні данні'!$E$31,F56*'Вхідні данні'!$C$32/365*(I57-I56),IF(B57&lt;='Вхідні данні'!$F$16,F56*'Вхідні данні'!$C$26/365*(I57-I56),0))</f>
        <v>0</v>
      </c>
      <c r="E57" s="8">
        <f>IF(B57&lt;='Вхідні данні'!$F$16,C57+D57,0)</f>
        <v>0</v>
      </c>
      <c r="F57" s="7">
        <f>IF(B57&lt;='Вхідні данні'!$F$16,F56-C57:C58,0)</f>
        <v>0</v>
      </c>
      <c r="H57" s="2">
        <v>50</v>
      </c>
      <c r="I57" s="12">
        <f t="shared" ca="1" si="0"/>
        <v>46186</v>
      </c>
    </row>
    <row r="58" spans="2:9" x14ac:dyDescent="0.25">
      <c r="B58" s="6">
        <v>48</v>
      </c>
      <c r="C58" s="7">
        <f>IF(B58&lt;='Вхідні данні'!$F$16,'Вхідні данні'!$C$24/'Вхідні данні'!$F$16,0)</f>
        <v>0</v>
      </c>
      <c r="D58" s="7">
        <f>IF(B58&lt;='Вхідні данні'!$E$31,F57*'Вхідні данні'!$C$32/365*(I58-I57),IF(B58&lt;='Вхідні данні'!$F$16,F57*'Вхідні данні'!$C$26/365*(I58-I57),0))</f>
        <v>0</v>
      </c>
      <c r="E58" s="8">
        <f>IF(B58&lt;='Вхідні данні'!$F$16,C58+D58,0)</f>
        <v>0</v>
      </c>
      <c r="F58" s="7">
        <f>IF(B58&lt;='Вхідні данні'!$F$16,F57-C58:C59,0)</f>
        <v>0</v>
      </c>
      <c r="H58" s="2">
        <v>51</v>
      </c>
      <c r="I58" s="12">
        <f t="shared" ca="1" si="0"/>
        <v>46216</v>
      </c>
    </row>
    <row r="59" spans="2:9" x14ac:dyDescent="0.25">
      <c r="B59" s="6">
        <v>49</v>
      </c>
      <c r="C59" s="7">
        <f>IF(B59&lt;='Вхідні данні'!$F$16,'Вхідні данні'!$C$24/'Вхідні данні'!$F$16,0)</f>
        <v>0</v>
      </c>
      <c r="D59" s="7">
        <f>IF(B59&lt;='Вхідні данні'!$E$31,F58*'Вхідні данні'!$C$32/365*(I59-I58),IF(B59&lt;='Вхідні данні'!$F$16,F58*'Вхідні данні'!$C$26/365*(I59-I58),0))</f>
        <v>0</v>
      </c>
      <c r="E59" s="8">
        <f>IF(B59&lt;='Вхідні данні'!$F$16,C59+D59,0)</f>
        <v>0</v>
      </c>
      <c r="F59" s="7">
        <f>IF(B59&lt;='Вхідні данні'!$F$16,F58-C59:C60,0)</f>
        <v>0</v>
      </c>
      <c r="H59" s="2">
        <v>52</v>
      </c>
      <c r="I59" s="12">
        <f t="shared" ca="1" si="0"/>
        <v>46247</v>
      </c>
    </row>
    <row r="60" spans="2:9" x14ac:dyDescent="0.25">
      <c r="B60" s="6">
        <v>50</v>
      </c>
      <c r="C60" s="7">
        <f>IF(B60&lt;='Вхідні данні'!$F$16,'Вхідні данні'!$C$24/'Вхідні данні'!$F$16,0)</f>
        <v>0</v>
      </c>
      <c r="D60" s="7">
        <f>IF(B60&lt;='Вхідні данні'!$E$31,F59*'Вхідні данні'!$C$32/365*(I60-I59),IF(B60&lt;='Вхідні данні'!$F$16,F59*'Вхідні данні'!$C$26/365*(I60-I59),0))</f>
        <v>0</v>
      </c>
      <c r="E60" s="8">
        <f>IF(B60&lt;='Вхідні данні'!$F$16,C60+D60,0)</f>
        <v>0</v>
      </c>
      <c r="F60" s="7">
        <f>IF(B60&lt;='Вхідні данні'!$F$16,F59-C60:C61,0)</f>
        <v>0</v>
      </c>
      <c r="H60" s="2">
        <v>53</v>
      </c>
      <c r="I60" s="12">
        <f t="shared" ca="1" si="0"/>
        <v>46278</v>
      </c>
    </row>
    <row r="61" spans="2:9" x14ac:dyDescent="0.25">
      <c r="B61" s="6">
        <v>51</v>
      </c>
      <c r="C61" s="7">
        <f>IF(B61&lt;='Вхідні данні'!$F$16,'Вхідні данні'!$C$24/'Вхідні данні'!$F$16,0)</f>
        <v>0</v>
      </c>
      <c r="D61" s="7">
        <f>IF(B61&lt;='Вхідні данні'!$E$31,F60*'Вхідні данні'!$C$32/365*(I61-I60),IF(B61&lt;='Вхідні данні'!$F$16,F60*'Вхідні данні'!$C$26/365*(I61-I60),0))</f>
        <v>0</v>
      </c>
      <c r="E61" s="8">
        <f>IF(B61&lt;='Вхідні данні'!$F$16,C61+D61,0)</f>
        <v>0</v>
      </c>
      <c r="F61" s="7">
        <f>IF(B61&lt;='Вхідні данні'!$F$16,F60-C61:C62,0)</f>
        <v>0</v>
      </c>
      <c r="H61" s="2">
        <v>54</v>
      </c>
      <c r="I61" s="12">
        <f t="shared" ca="1" si="0"/>
        <v>46308</v>
      </c>
    </row>
    <row r="62" spans="2:9" x14ac:dyDescent="0.25">
      <c r="B62" s="6">
        <v>52</v>
      </c>
      <c r="C62" s="7">
        <f>IF(B62&lt;='Вхідні данні'!$F$16,'Вхідні данні'!$C$24/'Вхідні данні'!$F$16,0)</f>
        <v>0</v>
      </c>
      <c r="D62" s="7">
        <f>IF(B62&lt;='Вхідні данні'!$E$31,F61*'Вхідні данні'!$C$32/365*(I62-I61),IF(B62&lt;='Вхідні данні'!$F$16,F61*'Вхідні данні'!$C$26/365*(I62-I61),0))</f>
        <v>0</v>
      </c>
      <c r="E62" s="8">
        <f>IF(B62&lt;='Вхідні данні'!$F$16,C62+D62,0)</f>
        <v>0</v>
      </c>
      <c r="F62" s="7">
        <f>IF(B62&lt;='Вхідні данні'!$F$16,F61-C62:C63,0)</f>
        <v>0</v>
      </c>
      <c r="H62" s="2">
        <v>55</v>
      </c>
      <c r="I62" s="12">
        <f t="shared" ca="1" si="0"/>
        <v>46339</v>
      </c>
    </row>
    <row r="63" spans="2:9" x14ac:dyDescent="0.25">
      <c r="B63" s="6">
        <v>53</v>
      </c>
      <c r="C63" s="7">
        <f>IF(B63&lt;='Вхідні данні'!$F$16,'Вхідні данні'!$C$24/'Вхідні данні'!$F$16,0)</f>
        <v>0</v>
      </c>
      <c r="D63" s="7">
        <f>IF(B63&lt;='Вхідні данні'!$E$31,F62*'Вхідні данні'!$C$32/365*(I63-I62),IF(B63&lt;='Вхідні данні'!$F$16,F62*'Вхідні данні'!$C$26/365*(I63-I62),0))</f>
        <v>0</v>
      </c>
      <c r="E63" s="8">
        <f>IF(B63&lt;='Вхідні данні'!$F$16,C63+D63,0)</f>
        <v>0</v>
      </c>
      <c r="F63" s="7">
        <f>IF(B63&lt;='Вхідні данні'!$F$16,F62-C63:C64,0)</f>
        <v>0</v>
      </c>
      <c r="H63" s="2">
        <v>56</v>
      </c>
      <c r="I63" s="12">
        <f t="shared" ca="1" si="0"/>
        <v>46369</v>
      </c>
    </row>
    <row r="64" spans="2:9" x14ac:dyDescent="0.25">
      <c r="B64" s="6">
        <v>54</v>
      </c>
      <c r="C64" s="7">
        <f>IF(B64&lt;='Вхідні данні'!$F$16,'Вхідні данні'!$C$24/'Вхідні данні'!$F$16,0)</f>
        <v>0</v>
      </c>
      <c r="D64" s="7">
        <f>IF(B64&lt;='Вхідні данні'!$E$31,F63*'Вхідні данні'!$C$32/365*(I64-I63),IF(B64&lt;='Вхідні данні'!$F$16,F63*'Вхідні данні'!$C$26/365*(I64-I63),0))</f>
        <v>0</v>
      </c>
      <c r="E64" s="8">
        <f>IF(B64&lt;='Вхідні данні'!$F$16,C64+D64,0)</f>
        <v>0</v>
      </c>
      <c r="F64" s="7">
        <f>IF(B64&lt;='Вхідні данні'!$F$16,F63-C64:C65,0)</f>
        <v>0</v>
      </c>
      <c r="H64" s="2">
        <v>57</v>
      </c>
      <c r="I64" s="12">
        <f t="shared" ca="1" si="0"/>
        <v>46400</v>
      </c>
    </row>
    <row r="65" spans="2:9" x14ac:dyDescent="0.25">
      <c r="B65" s="6">
        <v>55</v>
      </c>
      <c r="C65" s="7">
        <f>IF(B65&lt;='Вхідні данні'!$F$16,'Вхідні данні'!$C$24/'Вхідні данні'!$F$16,0)</f>
        <v>0</v>
      </c>
      <c r="D65" s="7">
        <f>IF(B65&lt;='Вхідні данні'!$E$31,F64*'Вхідні данні'!$C$32/365*(I65-I64),IF(B65&lt;='Вхідні данні'!$F$16,F64*'Вхідні данні'!$C$26/365*(I65-I64),0))</f>
        <v>0</v>
      </c>
      <c r="E65" s="8">
        <f>IF(B65&lt;='Вхідні данні'!$F$16,C65+D65,0)</f>
        <v>0</v>
      </c>
      <c r="F65" s="7">
        <f>IF(B65&lt;='Вхідні данні'!$F$16,F64-C65:C66,0)</f>
        <v>0</v>
      </c>
      <c r="H65" s="2">
        <v>58</v>
      </c>
      <c r="I65" s="12">
        <f t="shared" ca="1" si="0"/>
        <v>46431</v>
      </c>
    </row>
    <row r="66" spans="2:9" x14ac:dyDescent="0.25">
      <c r="B66" s="6">
        <v>56</v>
      </c>
      <c r="C66" s="7">
        <f>IF(B66&lt;='Вхідні данні'!$F$16,'Вхідні данні'!$C$24/'Вхідні данні'!$F$16,0)</f>
        <v>0</v>
      </c>
      <c r="D66" s="7">
        <f>IF(B66&lt;='Вхідні данні'!$E$31,F65*'Вхідні данні'!$C$32/365*(I66-I65),IF(B66&lt;='Вхідні данні'!$F$16,F65*'Вхідні данні'!$C$26/365*(I66-I65),0))</f>
        <v>0</v>
      </c>
      <c r="E66" s="8">
        <f>IF(B66&lt;='Вхідні данні'!$F$16,C66+D66,0)</f>
        <v>0</v>
      </c>
      <c r="F66" s="7">
        <f>IF(B66&lt;='Вхідні данні'!$F$16,F65-C66:C67,0)</f>
        <v>0</v>
      </c>
      <c r="H66" s="2">
        <v>59</v>
      </c>
      <c r="I66" s="12">
        <f t="shared" ca="1" si="0"/>
        <v>46459</v>
      </c>
    </row>
    <row r="67" spans="2:9" x14ac:dyDescent="0.25">
      <c r="B67" s="6">
        <v>57</v>
      </c>
      <c r="C67" s="7">
        <f>IF(B67&lt;='Вхідні данні'!$F$16,'Вхідні данні'!$C$24/'Вхідні данні'!$F$16,0)</f>
        <v>0</v>
      </c>
      <c r="D67" s="7">
        <f>IF(B67&lt;='Вхідні данні'!$E$31,F66*'Вхідні данні'!$C$32/365*(I67-I66),IF(B67&lt;='Вхідні данні'!$F$16,F66*'Вхідні данні'!$C$26/365*(I67-I66),0))</f>
        <v>0</v>
      </c>
      <c r="E67" s="8">
        <f>IF(B67&lt;='Вхідні данні'!$F$16,C67+D67,0)</f>
        <v>0</v>
      </c>
      <c r="F67" s="7">
        <f>IF(B67&lt;='Вхідні данні'!$F$16,F66-C67:C68,0)</f>
        <v>0</v>
      </c>
      <c r="H67" s="2">
        <v>60</v>
      </c>
      <c r="I67" s="12">
        <f t="shared" ca="1" si="0"/>
        <v>46490</v>
      </c>
    </row>
    <row r="68" spans="2:9" x14ac:dyDescent="0.25">
      <c r="B68" s="6">
        <v>58</v>
      </c>
      <c r="C68" s="7">
        <f>IF(B68&lt;='Вхідні данні'!$F$16,'Вхідні данні'!$C$24/'Вхідні данні'!$F$16,0)</f>
        <v>0</v>
      </c>
      <c r="D68" s="7">
        <f>IF(B68&lt;='Вхідні данні'!$E$31,F67*'Вхідні данні'!$C$32/365*(I68-I67),IF(B68&lt;='Вхідні данні'!$F$16,F67*'Вхідні данні'!$C$26/365*(I68-I67),0))</f>
        <v>0</v>
      </c>
      <c r="E68" s="8">
        <f>IF(B68&lt;='Вхідні данні'!$F$16,C68+D68,0)</f>
        <v>0</v>
      </c>
      <c r="F68" s="7">
        <f>IF(B68&lt;='Вхідні данні'!$F$16,F67-C68:C69,0)</f>
        <v>0</v>
      </c>
      <c r="H68" s="2">
        <v>61</v>
      </c>
      <c r="I68" s="12">
        <f t="shared" ca="1" si="0"/>
        <v>46520</v>
      </c>
    </row>
    <row r="69" spans="2:9" x14ac:dyDescent="0.25">
      <c r="B69" s="6">
        <v>59</v>
      </c>
      <c r="C69" s="7">
        <f>IF(B69&lt;='Вхідні данні'!$F$16,'Вхідні данні'!$C$24/'Вхідні данні'!$F$16,0)</f>
        <v>0</v>
      </c>
      <c r="D69" s="7">
        <f>IF(B69&lt;='Вхідні данні'!$E$31,F68*'Вхідні данні'!$C$32/365*(I69-I68),IF(B69&lt;='Вхідні данні'!$F$16,F68*'Вхідні данні'!$C$26/365*(I69-I68),0))</f>
        <v>0</v>
      </c>
      <c r="E69" s="8">
        <f>IF(B69&lt;='Вхідні данні'!$F$16,C69+D69,0)</f>
        <v>0</v>
      </c>
      <c r="F69" s="7">
        <f>IF(B69&lt;='Вхідні данні'!$F$16,F68-C69:C70,0)</f>
        <v>0</v>
      </c>
      <c r="H69" s="2">
        <v>62</v>
      </c>
      <c r="I69" s="12">
        <f t="shared" ca="1" si="0"/>
        <v>46551</v>
      </c>
    </row>
    <row r="70" spans="2:9" x14ac:dyDescent="0.25">
      <c r="B70" s="6">
        <v>60</v>
      </c>
      <c r="C70" s="7">
        <f>IF(B70&lt;='Вхідні данні'!$F$16,'Вхідні данні'!$C$24/'Вхідні данні'!$F$16,0)</f>
        <v>0</v>
      </c>
      <c r="D70" s="7">
        <f>IF(B70&lt;='Вхідні данні'!$E$31,F69*'Вхідні данні'!$C$32/365*(I70-I69),IF(B70&lt;='Вхідні данні'!$F$16,F69*'Вхідні данні'!$C$26/365*(I70-I69),0))</f>
        <v>0</v>
      </c>
      <c r="E70" s="8">
        <f>IF(B70&lt;='Вхідні данні'!$F$16,C70+D70,0)</f>
        <v>0</v>
      </c>
      <c r="F70" s="7">
        <f>IF(B70&lt;='Вхідні данні'!$F$16,F69-C70:C71,0)</f>
        <v>0</v>
      </c>
      <c r="H70" s="2">
        <v>63</v>
      </c>
      <c r="I70" s="12">
        <f t="shared" ca="1" si="0"/>
        <v>46581</v>
      </c>
    </row>
    <row r="71" spans="2:9" x14ac:dyDescent="0.25">
      <c r="B71" s="6">
        <v>61</v>
      </c>
      <c r="C71" s="7">
        <f>IF(B71&lt;='Вхідні данні'!$F$16,'Вхідні данні'!$C$24/'Вхідні данні'!$F$16,0)</f>
        <v>0</v>
      </c>
      <c r="D71" s="7">
        <f>IF(B71&lt;='Вхідні данні'!$E$31,F70*'Вхідні данні'!$C$32/365*(I71-I70),IF(B71&lt;='Вхідні данні'!$F$16,F70*'Вхідні данні'!$C$26/365*(I71-I70),0))</f>
        <v>0</v>
      </c>
      <c r="E71" s="8">
        <f>IF(B71&lt;='Вхідні данні'!$F$16,C71+D71,0)</f>
        <v>0</v>
      </c>
      <c r="F71" s="7">
        <f>IF(B71&lt;='Вхідні данні'!$F$16,F70-C71:C72,0)</f>
        <v>0</v>
      </c>
      <c r="H71" s="2">
        <v>64</v>
      </c>
      <c r="I71" s="12">
        <f t="shared" ca="1" si="0"/>
        <v>46612</v>
      </c>
    </row>
    <row r="72" spans="2:9" x14ac:dyDescent="0.25">
      <c r="B72" s="6">
        <v>62</v>
      </c>
      <c r="C72" s="7">
        <f>IF(B72&lt;='Вхідні данні'!$F$16,'Вхідні данні'!$C$24/'Вхідні данні'!$F$16,0)</f>
        <v>0</v>
      </c>
      <c r="D72" s="7">
        <f>IF(B72&lt;='Вхідні данні'!$E$31,F71*'Вхідні данні'!$C$32/365*(I72-I71),IF(B72&lt;='Вхідні данні'!$F$16,F71*'Вхідні данні'!$C$26/365*(I72-I71),0))</f>
        <v>0</v>
      </c>
      <c r="E72" s="8">
        <f>IF(B72&lt;='Вхідні данні'!$F$16,C72+D72,0)</f>
        <v>0</v>
      </c>
      <c r="F72" s="7">
        <f>IF(B72&lt;='Вхідні данні'!$F$16,F71-C72:C73,0)</f>
        <v>0</v>
      </c>
      <c r="H72" s="2">
        <v>65</v>
      </c>
      <c r="I72" s="12">
        <f t="shared" ca="1" si="0"/>
        <v>46643</v>
      </c>
    </row>
    <row r="73" spans="2:9" x14ac:dyDescent="0.25">
      <c r="B73" s="6">
        <v>63</v>
      </c>
      <c r="C73" s="7">
        <f>IF(B73&lt;='Вхідні данні'!$F$16,'Вхідні данні'!$C$24/'Вхідні данні'!$F$16,0)</f>
        <v>0</v>
      </c>
      <c r="D73" s="7">
        <f>IF(B73&lt;='Вхідні данні'!$E$31,F72*'Вхідні данні'!$C$32/365*(I73-I72),IF(B73&lt;='Вхідні данні'!$F$16,F72*'Вхідні данні'!$C$26/365*(I73-I72),0))</f>
        <v>0</v>
      </c>
      <c r="E73" s="8">
        <f>IF(B73&lt;='Вхідні данні'!$F$16,C73+D73,0)</f>
        <v>0</v>
      </c>
      <c r="F73" s="7">
        <f>IF(B73&lt;='Вхідні данні'!$F$16,F72-C73:C74,0)</f>
        <v>0</v>
      </c>
      <c r="H73" s="2">
        <v>66</v>
      </c>
      <c r="I73" s="12">
        <f t="shared" ca="1" si="0"/>
        <v>46673</v>
      </c>
    </row>
    <row r="74" spans="2:9" x14ac:dyDescent="0.25">
      <c r="B74" s="6">
        <v>64</v>
      </c>
      <c r="C74" s="7">
        <f>IF(B74&lt;='Вхідні данні'!$F$16,'Вхідні данні'!$C$24/'Вхідні данні'!$F$16,0)</f>
        <v>0</v>
      </c>
      <c r="D74" s="7">
        <f>IF(B74&lt;='Вхідні данні'!$E$31,F73*'Вхідні данні'!$C$32/365*(I74-I73),IF(B74&lt;='Вхідні данні'!$F$16,F73*'Вхідні данні'!$C$26/365*(I74-I73),0))</f>
        <v>0</v>
      </c>
      <c r="E74" s="8">
        <f>IF(B74&lt;='Вхідні данні'!$F$16,C74+D74,0)</f>
        <v>0</v>
      </c>
      <c r="F74" s="7">
        <f>IF(B74&lt;='Вхідні данні'!$F$16,F73-C74:C75,0)</f>
        <v>0</v>
      </c>
      <c r="H74" s="2">
        <v>67</v>
      </c>
      <c r="I74" s="12">
        <f t="shared" ca="1" si="0"/>
        <v>46704</v>
      </c>
    </row>
    <row r="75" spans="2:9" x14ac:dyDescent="0.25">
      <c r="B75" s="6">
        <v>65</v>
      </c>
      <c r="C75" s="7">
        <f>IF(B75&lt;='Вхідні данні'!$F$16,'Вхідні данні'!$C$24/'Вхідні данні'!$F$16,0)</f>
        <v>0</v>
      </c>
      <c r="D75" s="7">
        <f>IF(B75&lt;='Вхідні данні'!$E$31,F74*'Вхідні данні'!$C$32/365*(I75-I74),IF(B75&lt;='Вхідні данні'!$F$16,F74*'Вхідні данні'!$C$26/365*(I75-I74),0))</f>
        <v>0</v>
      </c>
      <c r="E75" s="8">
        <f>IF(B75&lt;='Вхідні данні'!$F$16,C75+D75,0)</f>
        <v>0</v>
      </c>
      <c r="F75" s="7">
        <f>IF(B75&lt;='Вхідні данні'!$F$16,F74-C75:C76,0)</f>
        <v>0</v>
      </c>
      <c r="H75" s="2">
        <v>68</v>
      </c>
      <c r="I75" s="12">
        <f t="shared" ca="1" si="0"/>
        <v>46734</v>
      </c>
    </row>
    <row r="76" spans="2:9" x14ac:dyDescent="0.25">
      <c r="B76" s="6">
        <v>66</v>
      </c>
      <c r="C76" s="7">
        <f>IF(B76&lt;='Вхідні данні'!$F$16,'Вхідні данні'!$C$24/'Вхідні данні'!$F$16,0)</f>
        <v>0</v>
      </c>
      <c r="D76" s="7">
        <f>IF(B76&lt;='Вхідні данні'!$E$31,F75*'Вхідні данні'!$C$32/365*(I76-I75),IF(B76&lt;='Вхідні данні'!$F$16,F75*'Вхідні данні'!$C$26/365*(I76-I75),0))</f>
        <v>0</v>
      </c>
      <c r="E76" s="8">
        <f>IF(B76&lt;='Вхідні данні'!$F$16,C76+D76,0)</f>
        <v>0</v>
      </c>
      <c r="F76" s="7">
        <f>IF(B76&lt;='Вхідні данні'!$F$16,F75-C76:C77,0)</f>
        <v>0</v>
      </c>
      <c r="H76" s="2">
        <v>69</v>
      </c>
      <c r="I76" s="12">
        <f t="shared" ref="I76:I94" ca="1" si="1">IF(DAY(TODAY())&gt;DAY(DATE(YEAR(TODAY()),MONTH(TODAY())+H73+1,1)-1),DATE(YEAR(TODAY()),MONTH(TODAY())+H73+1,1)-1,DATE(YEAR(TODAY()),MONTH(TODAY())+H73,DAY(TODAY())))</f>
        <v>46765</v>
      </c>
    </row>
    <row r="77" spans="2:9" x14ac:dyDescent="0.25">
      <c r="B77" s="6">
        <v>67</v>
      </c>
      <c r="C77" s="7">
        <f>IF(B77&lt;='Вхідні данні'!$F$16,'Вхідні данні'!$C$24/'Вхідні данні'!$F$16,0)</f>
        <v>0</v>
      </c>
      <c r="D77" s="7">
        <f>IF(B77&lt;='Вхідні данні'!$E$31,F76*'Вхідні данні'!$C$32/365*(I77-I76),IF(B77&lt;='Вхідні данні'!$F$16,F76*'Вхідні данні'!$C$26/365*(I77-I76),0))</f>
        <v>0</v>
      </c>
      <c r="E77" s="8">
        <f>IF(B77&lt;='Вхідні данні'!$F$16,C77+D77,0)</f>
        <v>0</v>
      </c>
      <c r="F77" s="7">
        <f>IF(B77&lt;='Вхідні данні'!$F$16,F76-C77:C78,0)</f>
        <v>0</v>
      </c>
      <c r="H77" s="2">
        <v>70</v>
      </c>
      <c r="I77" s="12">
        <f t="shared" ca="1" si="1"/>
        <v>46796</v>
      </c>
    </row>
    <row r="78" spans="2:9" x14ac:dyDescent="0.25">
      <c r="B78" s="6">
        <v>68</v>
      </c>
      <c r="C78" s="7">
        <f>IF(B78&lt;='Вхідні данні'!$F$16,'Вхідні данні'!$C$24/'Вхідні данні'!$F$16,0)</f>
        <v>0</v>
      </c>
      <c r="D78" s="7">
        <f>IF(B78&lt;='Вхідні данні'!$E$31,F77*'Вхідні данні'!$C$32/365*(I78-I77),IF(B78&lt;='Вхідні данні'!$F$16,F77*'Вхідні данні'!$C$26/365*(I78-I77),0))</f>
        <v>0</v>
      </c>
      <c r="E78" s="8">
        <f>IF(B78&lt;='Вхідні данні'!$F$16,C78+D78,0)</f>
        <v>0</v>
      </c>
      <c r="F78" s="7">
        <f>IF(B78&lt;='Вхідні данні'!$F$16,F77-C78:C79,0)</f>
        <v>0</v>
      </c>
      <c r="H78" s="2">
        <v>71</v>
      </c>
      <c r="I78" s="12">
        <f t="shared" ca="1" si="1"/>
        <v>46825</v>
      </c>
    </row>
    <row r="79" spans="2:9" x14ac:dyDescent="0.25">
      <c r="B79" s="6">
        <v>69</v>
      </c>
      <c r="C79" s="7">
        <f>IF(B79&lt;='Вхідні данні'!$F$16,'Вхідні данні'!$C$24/'Вхідні данні'!$F$16,0)</f>
        <v>0</v>
      </c>
      <c r="D79" s="7">
        <f>IF(B79&lt;='Вхідні данні'!$E$31,F78*'Вхідні данні'!$C$32/365*(I79-I78),IF(B79&lt;='Вхідні данні'!$F$16,F78*'Вхідні данні'!$C$26/365*(I79-I78),0))</f>
        <v>0</v>
      </c>
      <c r="E79" s="8">
        <f>IF(B79&lt;='Вхідні данні'!$F$16,C79+D79,0)</f>
        <v>0</v>
      </c>
      <c r="F79" s="7">
        <f>IF(B79&lt;='Вхідні данні'!$F$16,F78-C79:C80,0)</f>
        <v>0</v>
      </c>
      <c r="H79" s="2">
        <v>72</v>
      </c>
      <c r="I79" s="12">
        <f t="shared" ca="1" si="1"/>
        <v>46856</v>
      </c>
    </row>
    <row r="80" spans="2:9" x14ac:dyDescent="0.25">
      <c r="B80" s="6">
        <v>70</v>
      </c>
      <c r="C80" s="7">
        <f>IF(B80&lt;='Вхідні данні'!$F$16,'Вхідні данні'!$C$24/'Вхідні данні'!$F$16,0)</f>
        <v>0</v>
      </c>
      <c r="D80" s="7">
        <f>IF(B80&lt;='Вхідні данні'!$E$31,F79*'Вхідні данні'!$C$32/365*(I80-I79),IF(B80&lt;='Вхідні данні'!$F$16,F79*'Вхідні данні'!$C$26/365*(I80-I79),0))</f>
        <v>0</v>
      </c>
      <c r="E80" s="8">
        <f>IF(B80&lt;='Вхідні данні'!$F$16,C80+D80,0)</f>
        <v>0</v>
      </c>
      <c r="F80" s="7">
        <f>IF(B80&lt;='Вхідні данні'!$F$16,F79-C80:C81,0)</f>
        <v>0</v>
      </c>
      <c r="H80" s="2">
        <v>73</v>
      </c>
      <c r="I80" s="12">
        <f t="shared" ca="1" si="1"/>
        <v>46886</v>
      </c>
    </row>
    <row r="81" spans="2:9" x14ac:dyDescent="0.25">
      <c r="B81" s="6">
        <v>71</v>
      </c>
      <c r="C81" s="7">
        <f>IF(B81&lt;='Вхідні данні'!$F$16,'Вхідні данні'!$C$24/'Вхідні данні'!$F$16,0)</f>
        <v>0</v>
      </c>
      <c r="D81" s="7">
        <f>IF(B81&lt;='Вхідні данні'!$E$31,F80*'Вхідні данні'!$C$32/365*(I81-I80),IF(B81&lt;='Вхідні данні'!$F$16,F80*'Вхідні данні'!$C$26/365*(I81-I80),0))</f>
        <v>0</v>
      </c>
      <c r="E81" s="8">
        <f>IF(B81&lt;='Вхідні данні'!$F$16,C81+D81,0)</f>
        <v>0</v>
      </c>
      <c r="F81" s="7">
        <f>IF(B81&lt;='Вхідні данні'!$F$16,F80-C81:C82,0)</f>
        <v>0</v>
      </c>
      <c r="H81" s="2">
        <v>74</v>
      </c>
      <c r="I81" s="12">
        <f t="shared" ca="1" si="1"/>
        <v>46917</v>
      </c>
    </row>
    <row r="82" spans="2:9" x14ac:dyDescent="0.25">
      <c r="B82" s="6">
        <v>72</v>
      </c>
      <c r="C82" s="7">
        <f>IF(B82&lt;='Вхідні данні'!$F$16,'Вхідні данні'!$C$24/'Вхідні данні'!$F$16,0)</f>
        <v>0</v>
      </c>
      <c r="D82" s="7">
        <f>IF(B82&lt;='Вхідні данні'!$E$31,F81*'Вхідні данні'!$C$32/365*(I82-I81),IF(B82&lt;='Вхідні данні'!$F$16,F81*'Вхідні данні'!$C$26/365*(I82-I81),0))</f>
        <v>0</v>
      </c>
      <c r="E82" s="8">
        <f>IF(B82&lt;='Вхідні данні'!$F$16,C82+D82,0)</f>
        <v>0</v>
      </c>
      <c r="F82" s="7">
        <f>IF(B82&lt;='Вхідні данні'!$F$16,F81-C82:C83,0)</f>
        <v>0</v>
      </c>
      <c r="H82" s="2">
        <v>75</v>
      </c>
      <c r="I82" s="12">
        <f t="shared" ca="1" si="1"/>
        <v>46947</v>
      </c>
    </row>
    <row r="83" spans="2:9" x14ac:dyDescent="0.25">
      <c r="B83" s="6">
        <v>73</v>
      </c>
      <c r="C83" s="7">
        <f>IF(B83&lt;='Вхідні данні'!$F$16,'Вхідні данні'!$C$24/'Вхідні данні'!$F$16,0)</f>
        <v>0</v>
      </c>
      <c r="D83" s="7">
        <f>IF(B83&lt;='Вхідні данні'!$E$31,F82*'Вхідні данні'!$C$32/365*(I83-I82),IF(B83&lt;='Вхідні данні'!$F$16,F82*'Вхідні данні'!$C$26/365*(I83-I82),0))</f>
        <v>0</v>
      </c>
      <c r="E83" s="8">
        <f>IF(B83&lt;='Вхідні данні'!$F$16,C83+D83,0)</f>
        <v>0</v>
      </c>
      <c r="F83" s="7">
        <f>IF(B83&lt;='Вхідні данні'!$F$16,F82-C83:C84,0)</f>
        <v>0</v>
      </c>
      <c r="H83" s="2">
        <v>76</v>
      </c>
      <c r="I83" s="12">
        <f t="shared" ca="1" si="1"/>
        <v>46978</v>
      </c>
    </row>
    <row r="84" spans="2:9" x14ac:dyDescent="0.25">
      <c r="B84" s="6">
        <v>74</v>
      </c>
      <c r="C84" s="7">
        <f>IF(B84&lt;='Вхідні данні'!$F$16,'Вхідні данні'!$C$24/'Вхідні данні'!$F$16,0)</f>
        <v>0</v>
      </c>
      <c r="D84" s="7">
        <f>IF(B84&lt;='Вхідні данні'!$E$31,F83*'Вхідні данні'!$C$32/365*(I84-I83),IF(B84&lt;='Вхідні данні'!$F$16,F83*'Вхідні данні'!$C$26/365*(I84-I83),0))</f>
        <v>0</v>
      </c>
      <c r="E84" s="8">
        <f>IF(B84&lt;='Вхідні данні'!$F$16,C84+D84,0)</f>
        <v>0</v>
      </c>
      <c r="F84" s="7">
        <f>IF(B84&lt;='Вхідні данні'!$F$16,F83-C84:C85,0)</f>
        <v>0</v>
      </c>
      <c r="H84" s="2">
        <v>77</v>
      </c>
      <c r="I84" s="12">
        <f t="shared" ca="1" si="1"/>
        <v>47009</v>
      </c>
    </row>
    <row r="85" spans="2:9" x14ac:dyDescent="0.25">
      <c r="B85" s="6">
        <v>75</v>
      </c>
      <c r="C85" s="7">
        <f>IF(B85&lt;='Вхідні данні'!$F$16,'Вхідні данні'!$C$24/'Вхідні данні'!$F$16,0)</f>
        <v>0</v>
      </c>
      <c r="D85" s="7">
        <f>IF(B85&lt;='Вхідні данні'!$E$31,F84*'Вхідні данні'!$C$32/365*(I85-I84),IF(B85&lt;='Вхідні данні'!$F$16,F84*'Вхідні данні'!$C$26/365*(I85-I84),0))</f>
        <v>0</v>
      </c>
      <c r="E85" s="8">
        <f>IF(B85&lt;='Вхідні данні'!$F$16,C85+D85,0)</f>
        <v>0</v>
      </c>
      <c r="F85" s="7">
        <f>IF(B85&lt;='Вхідні данні'!$F$16,F84-C85:C86,0)</f>
        <v>0</v>
      </c>
      <c r="H85" s="2">
        <v>78</v>
      </c>
      <c r="I85" s="12">
        <f t="shared" ca="1" si="1"/>
        <v>47039</v>
      </c>
    </row>
    <row r="86" spans="2:9" x14ac:dyDescent="0.25">
      <c r="B86" s="6">
        <v>76</v>
      </c>
      <c r="C86" s="7">
        <f>IF(B86&lt;='Вхідні данні'!$F$16,'Вхідні данні'!$C$24/'Вхідні данні'!$F$16,0)</f>
        <v>0</v>
      </c>
      <c r="D86" s="7">
        <f>IF(B86&lt;='Вхідні данні'!$E$31,F85*'Вхідні данні'!$C$32/365*(I86-I85),IF(B86&lt;='Вхідні данні'!$F$16,F85*'Вхідні данні'!$C$26/365*(I86-I85),0))</f>
        <v>0</v>
      </c>
      <c r="E86" s="8">
        <f>IF(B86&lt;='Вхідні данні'!$F$16,C86+D86,0)</f>
        <v>0</v>
      </c>
      <c r="F86" s="7">
        <f>IF(B86&lt;='Вхідні данні'!$F$16,F85-C86:C87,0)</f>
        <v>0</v>
      </c>
      <c r="H86" s="2">
        <v>79</v>
      </c>
      <c r="I86" s="12">
        <f t="shared" ca="1" si="1"/>
        <v>47070</v>
      </c>
    </row>
    <row r="87" spans="2:9" x14ac:dyDescent="0.25">
      <c r="B87" s="6">
        <v>77</v>
      </c>
      <c r="C87" s="7">
        <f>IF(B87&lt;='Вхідні данні'!$F$16,'Вхідні данні'!$C$24/'Вхідні данні'!$F$16,0)</f>
        <v>0</v>
      </c>
      <c r="D87" s="7">
        <f>IF(B87&lt;='Вхідні данні'!$E$31,F86*'Вхідні данні'!$C$32/365*(I87-I86),IF(B87&lt;='Вхідні данні'!$F$16,F86*'Вхідні данні'!$C$26/365*(I87-I86),0))</f>
        <v>0</v>
      </c>
      <c r="E87" s="8">
        <f>IF(B87&lt;='Вхідні данні'!$F$16,C87+D87,0)</f>
        <v>0</v>
      </c>
      <c r="F87" s="7">
        <f>IF(B87&lt;='Вхідні данні'!$F$16,F86-C87:C88,0)</f>
        <v>0</v>
      </c>
      <c r="H87" s="2">
        <v>80</v>
      </c>
      <c r="I87" s="12">
        <f t="shared" ca="1" si="1"/>
        <v>47100</v>
      </c>
    </row>
    <row r="88" spans="2:9" x14ac:dyDescent="0.25">
      <c r="B88" s="6">
        <v>78</v>
      </c>
      <c r="C88" s="7">
        <f>IF(B88&lt;='Вхідні данні'!$F$16,'Вхідні данні'!$C$24/'Вхідні данні'!$F$16,0)</f>
        <v>0</v>
      </c>
      <c r="D88" s="7">
        <f>IF(B88&lt;='Вхідні данні'!$E$31,F87*'Вхідні данні'!$C$32/365*(I88-I87),IF(B88&lt;='Вхідні данні'!$F$16,F87*'Вхідні данні'!$C$26/365*(I88-I87),0))</f>
        <v>0</v>
      </c>
      <c r="E88" s="8">
        <f>IF(B88&lt;='Вхідні данні'!$F$16,C88+D88,0)</f>
        <v>0</v>
      </c>
      <c r="F88" s="7">
        <f>IF(B88&lt;='Вхідні данні'!$F$16,F87-C88:C89,0)</f>
        <v>0</v>
      </c>
      <c r="H88" s="2">
        <v>81</v>
      </c>
      <c r="I88" s="12">
        <f t="shared" ca="1" si="1"/>
        <v>47131</v>
      </c>
    </row>
    <row r="89" spans="2:9" x14ac:dyDescent="0.25">
      <c r="B89" s="6">
        <v>79</v>
      </c>
      <c r="C89" s="7">
        <f>IF(B89&lt;='Вхідні данні'!$F$16,'Вхідні данні'!$C$24/'Вхідні данні'!$F$16,0)</f>
        <v>0</v>
      </c>
      <c r="D89" s="7">
        <f>IF(B89&lt;='Вхідні данні'!$E$31,F88*'Вхідні данні'!$C$32/365*(I89-I88),IF(B89&lt;='Вхідні данні'!$F$16,F88*'Вхідні данні'!$C$26/365*(I89-I88),0))</f>
        <v>0</v>
      </c>
      <c r="E89" s="8">
        <f>IF(B89&lt;='Вхідні данні'!$F$16,C89+D89,0)</f>
        <v>0</v>
      </c>
      <c r="F89" s="7">
        <f>IF(B89&lt;='Вхідні данні'!$F$16,F88-C89:C90,0)</f>
        <v>0</v>
      </c>
      <c r="H89" s="2">
        <v>82</v>
      </c>
      <c r="I89" s="12">
        <f t="shared" ca="1" si="1"/>
        <v>47162</v>
      </c>
    </row>
    <row r="90" spans="2:9" x14ac:dyDescent="0.25">
      <c r="B90" s="6">
        <v>80</v>
      </c>
      <c r="C90" s="7">
        <f>IF(B90&lt;='Вхідні данні'!$F$16,'Вхідні данні'!$C$24/'Вхідні данні'!$F$16,0)</f>
        <v>0</v>
      </c>
      <c r="D90" s="7">
        <f>IF(B90&lt;='Вхідні данні'!$E$31,F89*'Вхідні данні'!$C$32/365*(I90-I89),IF(B90&lt;='Вхідні данні'!$F$16,F89*'Вхідні данні'!$C$26/365*(I90-I89),0))</f>
        <v>0</v>
      </c>
      <c r="E90" s="8">
        <f>IF(B90&lt;='Вхідні данні'!$F$16,C90+D90,0)</f>
        <v>0</v>
      </c>
      <c r="F90" s="7">
        <f>IF(B90&lt;='Вхідні данні'!$F$16,F89-C90:C91,0)</f>
        <v>0</v>
      </c>
      <c r="H90" s="2">
        <v>83</v>
      </c>
      <c r="I90" s="12">
        <f t="shared" ca="1" si="1"/>
        <v>47190</v>
      </c>
    </row>
    <row r="91" spans="2:9" x14ac:dyDescent="0.25">
      <c r="B91" s="6">
        <v>81</v>
      </c>
      <c r="C91" s="7">
        <f>IF(B91&lt;='Вхідні данні'!$F$16,'Вхідні данні'!$C$24/'Вхідні данні'!$F$16,0)</f>
        <v>0</v>
      </c>
      <c r="D91" s="7">
        <f>IF(B91&lt;='Вхідні данні'!$E$31,F90*'Вхідні данні'!$C$32/365*(I91-I90),IF(B91&lt;='Вхідні данні'!$F$16,F90*'Вхідні данні'!$C$26/365*(I91-I90),0))</f>
        <v>0</v>
      </c>
      <c r="E91" s="8">
        <f>IF(B91&lt;='Вхідні данні'!$F$16,C91+D91,0)</f>
        <v>0</v>
      </c>
      <c r="F91" s="7">
        <f>IF(B91&lt;='Вхідні данні'!$F$16,F90-C91:C92,0)</f>
        <v>0</v>
      </c>
      <c r="H91" s="2">
        <v>84</v>
      </c>
      <c r="I91" s="12">
        <f t="shared" ca="1" si="1"/>
        <v>47221</v>
      </c>
    </row>
    <row r="92" spans="2:9" x14ac:dyDescent="0.25">
      <c r="B92" s="6">
        <v>82</v>
      </c>
      <c r="C92" s="7">
        <f>IF(B92&lt;='Вхідні данні'!$F$16,'Вхідні данні'!$C$24/'Вхідні данні'!$F$16,0)</f>
        <v>0</v>
      </c>
      <c r="D92" s="7">
        <f>IF(B92&lt;='Вхідні данні'!$E$31,F91*'Вхідні данні'!$C$32/365*(I92-I91),IF(B92&lt;='Вхідні данні'!$F$16,F91*'Вхідні данні'!$C$26/365*(I92-I91),0))</f>
        <v>0</v>
      </c>
      <c r="E92" s="8">
        <f>IF(B92&lt;='Вхідні данні'!$F$16,C92+D92,0)</f>
        <v>0</v>
      </c>
      <c r="F92" s="7">
        <f>IF(B92&lt;='Вхідні данні'!$F$16,F91-C92:C93,0)</f>
        <v>0</v>
      </c>
      <c r="H92" s="2">
        <v>85</v>
      </c>
      <c r="I92" s="12">
        <f t="shared" ca="1" si="1"/>
        <v>47251</v>
      </c>
    </row>
    <row r="93" spans="2:9" x14ac:dyDescent="0.25">
      <c r="B93" s="6">
        <v>83</v>
      </c>
      <c r="C93" s="7">
        <f>IF(B93&lt;='Вхідні данні'!$F$16,'Вхідні данні'!$C$24/'Вхідні данні'!$F$16,0)</f>
        <v>0</v>
      </c>
      <c r="D93" s="7">
        <f>IF(B93&lt;='Вхідні данні'!$E$31,F92*'Вхідні данні'!$C$32/365*(I93-I92),IF(B93&lt;='Вхідні данні'!$F$16,F92*'Вхідні данні'!$C$26/365*(I93-I92),0))</f>
        <v>0</v>
      </c>
      <c r="E93" s="8">
        <f>IF(B93&lt;='Вхідні данні'!$F$16,C93+D93,0)</f>
        <v>0</v>
      </c>
      <c r="F93" s="7">
        <f>IF(B93&lt;='Вхідні данні'!$F$16,F92-C93:C94,0)</f>
        <v>0</v>
      </c>
      <c r="H93" s="2">
        <v>86</v>
      </c>
      <c r="I93" s="12">
        <f t="shared" ca="1" si="1"/>
        <v>47282</v>
      </c>
    </row>
    <row r="94" spans="2:9" x14ac:dyDescent="0.25">
      <c r="B94" s="6">
        <v>84</v>
      </c>
      <c r="C94" s="7">
        <f>IF(B94&lt;='Вхідні данні'!$F$16,'Вхідні данні'!$C$24/'Вхідні данні'!$F$16,0)</f>
        <v>0</v>
      </c>
      <c r="D94" s="7">
        <f>IF(B94&lt;='Вхідні данні'!$E$31,F93*'Вхідні данні'!$C$32/365*(I94-I93),IF(B94&lt;='Вхідні данні'!$F$16,F93*'Вхідні данні'!$C$26/365*(I94-I93),0))</f>
        <v>0</v>
      </c>
      <c r="E94" s="8">
        <f>IF(B94&lt;='Вхідні данні'!$F$16,C94+D94,0)</f>
        <v>0</v>
      </c>
      <c r="F94" s="7">
        <f>IF(B94&lt;='Вхідні данні'!$F$16,F93-C94:C95,0)</f>
        <v>0</v>
      </c>
      <c r="H94" s="2">
        <v>87</v>
      </c>
      <c r="I94" s="12">
        <f t="shared" ca="1" si="1"/>
        <v>47312</v>
      </c>
    </row>
    <row r="95" spans="2:9" x14ac:dyDescent="0.25">
      <c r="B95" s="9" t="s">
        <v>13</v>
      </c>
      <c r="C95" s="11">
        <f>SUM(C11:C94)</f>
        <v>514998.50499999977</v>
      </c>
      <c r="D95" s="11">
        <f ca="1">SUM(D11:D94)</f>
        <v>17956.289046304511</v>
      </c>
    </row>
    <row r="96" spans="2:9" x14ac:dyDescent="0.25"/>
  </sheetData>
  <sheetProtection algorithmName="SHA-512" hashValue="P3/AH2hXgcHgPdZW822f7Md2E77VsqwTBS/EPrz8e1y+4Dn8x+LXMKSvrs7s8dzv+Emden0C/ChQ6hAxeVo/3w==" saltValue="9XwK0j2QtSDlV2BwRq/JCA==" spinCount="100000" sheet="1" objects="1" scenarios="1"/>
  <mergeCells count="1">
    <mergeCell ref="B6:D9"/>
  </mergeCells>
  <conditionalFormatting sqref="C11:F94">
    <cfRule type="cellIs" dxfId="2" priority="1" operator="equal">
      <formula>0</formula>
    </cfRule>
  </conditionalFormatting>
  <pageMargins left="0.7" right="0.7" top="0.75" bottom="0.75" header="0.3" footer="0.3"/>
  <pageSetup paperSize="9" scale="73" orientation="portrait" r:id="rId1"/>
  <rowBreaks count="1" manualBreakCount="1">
    <brk id="58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showGridLines="0" zoomScale="85" zoomScaleNormal="85" workbookViewId="0">
      <selection activeCell="F11" sqref="F11"/>
    </sheetView>
  </sheetViews>
  <sheetFormatPr defaultColWidth="0" defaultRowHeight="15" zeroHeight="1" x14ac:dyDescent="0.25"/>
  <cols>
    <col min="1" max="1" width="9.140625" style="2" customWidth="1"/>
    <col min="2" max="2" width="11.5703125" style="2" customWidth="1"/>
    <col min="3" max="3" width="22.5703125" style="3" customWidth="1"/>
    <col min="4" max="4" width="23.5703125" style="2" customWidth="1"/>
    <col min="5" max="5" width="18" style="2" customWidth="1"/>
    <col min="6" max="6" width="25.140625" style="2" customWidth="1"/>
    <col min="7" max="7" width="9.140625" style="1" customWidth="1"/>
    <col min="8" max="8" width="9.140625" style="1" hidden="1" customWidth="1"/>
    <col min="9" max="16384" width="9.140625" style="2" hidden="1"/>
  </cols>
  <sheetData>
    <row r="1" spans="2:8" x14ac:dyDescent="0.25"/>
    <row r="2" spans="2:8" x14ac:dyDescent="0.25"/>
    <row r="3" spans="2:8" x14ac:dyDescent="0.25"/>
    <row r="4" spans="2:8" x14ac:dyDescent="0.25"/>
    <row r="5" spans="2:8" x14ac:dyDescent="0.25"/>
    <row r="6" spans="2:8" x14ac:dyDescent="0.25"/>
    <row r="7" spans="2:8" ht="14.45" customHeight="1" x14ac:dyDescent="0.25">
      <c r="B7" s="70" t="s">
        <v>21</v>
      </c>
      <c r="C7" s="70"/>
      <c r="D7" s="70"/>
      <c r="E7" s="70"/>
      <c r="F7" s="53" t="s">
        <v>1</v>
      </c>
    </row>
    <row r="8" spans="2:8" ht="18.75" customHeight="1" x14ac:dyDescent="0.25">
      <c r="B8" s="70"/>
      <c r="C8" s="70"/>
      <c r="D8" s="70"/>
      <c r="E8" s="70"/>
      <c r="F8" s="54">
        <f>'Вхідні данні'!C26</f>
        <v>4.99E-2</v>
      </c>
      <c r="G8" s="2"/>
      <c r="H8" s="2"/>
    </row>
    <row r="9" spans="2:8" x14ac:dyDescent="0.25"/>
    <row r="10" spans="2:8" ht="60" x14ac:dyDescent="0.25">
      <c r="B10" s="4" t="s">
        <v>10</v>
      </c>
      <c r="C10" s="5" t="s">
        <v>11</v>
      </c>
      <c r="D10" s="4" t="s">
        <v>12</v>
      </c>
      <c r="E10" s="4" t="s">
        <v>13</v>
      </c>
      <c r="F10" s="4" t="s">
        <v>14</v>
      </c>
      <c r="G10" s="2"/>
      <c r="H10" s="2"/>
    </row>
    <row r="11" spans="2:8" x14ac:dyDescent="0.25">
      <c r="B11" s="6">
        <v>1</v>
      </c>
      <c r="C11" s="7">
        <f>IF(B11&lt;='Вхідні данні'!$C$16,-PPMT('Вхідні данні'!$C$26/12,B11,'Вхідні данні'!$C$16,'Вхідні данні'!$C$24,0),0)</f>
        <v>13291.1196303467</v>
      </c>
      <c r="D11" s="7">
        <f>'Вхідні данні'!$C$24*'Вхідні данні'!$C$26/12</f>
        <v>2141.5354499583332</v>
      </c>
      <c r="E11" s="8">
        <f>IF(B11&lt;='Вхідні данні'!$C$16,C11+D11,0)</f>
        <v>15432.655080305034</v>
      </c>
      <c r="F11" s="7">
        <f>'Вхідні данні'!$C$24-C11:C12</f>
        <v>501707.38536965329</v>
      </c>
      <c r="G11" s="2"/>
      <c r="H11" s="2"/>
    </row>
    <row r="12" spans="2:8" x14ac:dyDescent="0.25">
      <c r="B12" s="6">
        <v>2</v>
      </c>
      <c r="C12" s="7">
        <f>IF(B12&lt;='Вхідні данні'!$C$16,-PPMT('Вхідні данні'!$C$26/12,B12,'Вхідні данні'!$C$16,'Вхідні данні'!$C$24,0),0)</f>
        <v>13346.388536142891</v>
      </c>
      <c r="D12" s="7">
        <f>IF(B12&lt;='Вхідні данні'!$C$16,F11*'Вхідні данні'!$C$26/12,0)</f>
        <v>2086.2665441621416</v>
      </c>
      <c r="E12" s="8">
        <f>IF(B12&lt;='Вхідні данні'!$C$16,C12+D12,0)</f>
        <v>15432.655080305032</v>
      </c>
      <c r="F12" s="7">
        <f>IF(B12&lt;='Вхідні данні'!$C$16,F11-C12:C13,0)</f>
        <v>488360.99683351041</v>
      </c>
      <c r="G12" s="2"/>
      <c r="H12" s="2"/>
    </row>
    <row r="13" spans="2:8" x14ac:dyDescent="0.25">
      <c r="B13" s="6">
        <v>3</v>
      </c>
      <c r="C13" s="7">
        <f>IF(B13&lt;='Вхідні данні'!$C$16,-PPMT('Вхідні данні'!$C$26/12,B13,'Вхідні данні'!$C$16,'Вхідні данні'!$C$24,0),0)</f>
        <v>13401.88726847235</v>
      </c>
      <c r="D13" s="7">
        <f>IF(B13&lt;='Вхідні данні'!$C$16,F12*'Вхідні данні'!$C$26/12,0)</f>
        <v>2030.767811832681</v>
      </c>
      <c r="E13" s="8">
        <f>IF(B13&lt;='Вхідні данні'!$C$16,C13+D13,0)</f>
        <v>15432.65508030503</v>
      </c>
      <c r="F13" s="7">
        <f>IF(B13&lt;='Вхідні данні'!$C$16,F12-C13:C14,0)</f>
        <v>474959.10956503806</v>
      </c>
      <c r="G13" s="2"/>
      <c r="H13" s="2"/>
    </row>
    <row r="14" spans="2:8" x14ac:dyDescent="0.25">
      <c r="B14" s="6">
        <v>4</v>
      </c>
      <c r="C14" s="7">
        <f>IF(B14&lt;='Вхідні данні'!$C$16,-PPMT('Вхідні данні'!$C$26/12,B14,'Вхідні данні'!$C$16,'Вхідні данні'!$C$24,0),0)</f>
        <v>13457.616783030417</v>
      </c>
      <c r="D14" s="7">
        <f>IF(B14&lt;='Вхідні данні'!$C$16,F13*'Вхідні данні'!$C$26/12,0)</f>
        <v>1975.0382972746165</v>
      </c>
      <c r="E14" s="8">
        <f>IF(B14&lt;='Вхідні данні'!$C$16,C14+D14,0)</f>
        <v>15432.655080305034</v>
      </c>
      <c r="F14" s="7">
        <f>IF(B14&lt;='Вхідні данні'!$C$16,F13-C14:C15,0)</f>
        <v>461501.49278200767</v>
      </c>
      <c r="G14" s="2"/>
      <c r="H14" s="2"/>
    </row>
    <row r="15" spans="2:8" x14ac:dyDescent="0.25">
      <c r="B15" s="6">
        <v>5</v>
      </c>
      <c r="C15" s="7">
        <f>IF(B15&lt;='Вхідні данні'!$C$16,-PPMT('Вхідні данні'!$C$26/12,B15,'Вхідні данні'!$C$16,'Вхідні данні'!$C$24,0),0)</f>
        <v>13513.578039486518</v>
      </c>
      <c r="D15" s="7">
        <f>IF(B15&lt;='Вхідні данні'!$C$16,F14*'Вхідні данні'!$C$26/12,0)</f>
        <v>1919.0770408185153</v>
      </c>
      <c r="E15" s="8">
        <f>IF(B15&lt;='Вхідні данні'!$C$16,C15+D15,0)</f>
        <v>15432.655080305034</v>
      </c>
      <c r="F15" s="7">
        <f>IF(B15&lt;='Вхідні данні'!$C$16,F14-C15:C16,0)</f>
        <v>447987.91474252113</v>
      </c>
      <c r="G15" s="2"/>
      <c r="H15" s="2"/>
    </row>
    <row r="16" spans="2:8" x14ac:dyDescent="0.25">
      <c r="B16" s="6">
        <v>6</v>
      </c>
      <c r="C16" s="7">
        <f>IF(B16&lt;='Вхідні данні'!$C$16,-PPMT('Вхідні данні'!$C$26/12,B16,'Вхідні данні'!$C$16,'Вхідні данні'!$C$24,0),0)</f>
        <v>13569.772001500714</v>
      </c>
      <c r="D16" s="7">
        <f>IF(B16&lt;='Вхідні данні'!$C$16,F15*'Вхідні данні'!$C$26/12,0)</f>
        <v>1862.8830788043169</v>
      </c>
      <c r="E16" s="8">
        <f>IF(B16&lt;='Вхідні данні'!$C$16,C16+D16,0)</f>
        <v>15432.65508030503</v>
      </c>
      <c r="F16" s="7">
        <f>IF(B16&lt;='Вхідні данні'!$C$16,F15-C16:C17,0)</f>
        <v>434418.14274102042</v>
      </c>
      <c r="G16" s="2"/>
      <c r="H16" s="2"/>
    </row>
    <row r="17" spans="2:6" s="2" customFormat="1" x14ac:dyDescent="0.25">
      <c r="B17" s="6">
        <v>7</v>
      </c>
      <c r="C17" s="7">
        <f>IF(B17&lt;='Вхідні данні'!$C$16,-PPMT('Вхідні данні'!$C$26/12,B17,'Вхідні данні'!$C$16,'Вхідні данні'!$C$24,0),0)</f>
        <v>13626.199636740288</v>
      </c>
      <c r="D17" s="7">
        <f>IF(B17&lt;='Вхідні данні'!$C$16,F16*'Вхідні данні'!$C$26/12,0)</f>
        <v>1806.4554435647433</v>
      </c>
      <c r="E17" s="8">
        <f>IF(B17&lt;='Вхідні данні'!$C$16,C17+D17,0)</f>
        <v>15432.65508030503</v>
      </c>
      <c r="F17" s="7">
        <f>IF(B17&lt;='Вхідні данні'!$C$16,F16-C17:C18,0)</f>
        <v>420791.94310428016</v>
      </c>
    </row>
    <row r="18" spans="2:6" s="2" customFormat="1" x14ac:dyDescent="0.25">
      <c r="B18" s="6">
        <v>8</v>
      </c>
      <c r="C18" s="7">
        <f>IF(B18&lt;='Вхідні данні'!$C$16,-PPMT('Вхідні данні'!$C$26/12,B18,'Вхідні данні'!$C$16,'Вхідні данні'!$C$24,0),0)</f>
        <v>13682.861916896401</v>
      </c>
      <c r="D18" s="7">
        <f>IF(B18&lt;='Вхідні данні'!$C$16,F17*'Вхідні данні'!$C$26/12,0)</f>
        <v>1749.7931634086317</v>
      </c>
      <c r="E18" s="8">
        <f>IF(B18&lt;='Вхідні данні'!$C$16,C18+D18,0)</f>
        <v>15432.655080305034</v>
      </c>
      <c r="F18" s="7">
        <f>IF(B18&lt;='Вхідні данні'!$C$16,F17-C18:C19,0)</f>
        <v>407109.08118738374</v>
      </c>
    </row>
    <row r="19" spans="2:6" s="2" customFormat="1" x14ac:dyDescent="0.25">
      <c r="B19" s="6">
        <v>9</v>
      </c>
      <c r="C19" s="7">
        <f>IF(B19&lt;='Вхідні данні'!$C$16,-PPMT('Вхідні данні'!$C$26/12,B19,'Вхідні данні'!$C$16,'Вхідні данні'!$C$24,0),0)</f>
        <v>13739.759817700828</v>
      </c>
      <c r="D19" s="7">
        <f>IF(B19&lt;='Вхідні данні'!$C$16,F18*'Вхідні данні'!$C$26/12,0)</f>
        <v>1692.8952626042039</v>
      </c>
      <c r="E19" s="8">
        <f>IF(B19&lt;='Вхідні данні'!$C$16,C19+D19,0)</f>
        <v>15432.655080305032</v>
      </c>
      <c r="F19" s="7">
        <f>IF(B19&lt;='Вхідні данні'!$C$16,F18-C19:C20,0)</f>
        <v>393369.3213696829</v>
      </c>
    </row>
    <row r="20" spans="2:6" s="2" customFormat="1" x14ac:dyDescent="0.25">
      <c r="B20" s="6">
        <v>10</v>
      </c>
      <c r="C20" s="7">
        <f>IF(B20&lt;='Вхідні данні'!$C$16,-PPMT('Вхідні данні'!$C$26/12,B20,'Вхідні данні'!$C$16,'Вхідні данні'!$C$24,0),0)</f>
        <v>13796.894318942768</v>
      </c>
      <c r="D20" s="7">
        <f>IF(B20&lt;='Вхідні данні'!$C$16,F19*'Вхідні данні'!$C$26/12,0)</f>
        <v>1635.7607613622647</v>
      </c>
      <c r="E20" s="8">
        <f>IF(B20&lt;='Вхідні данні'!$C$16,C20+D20,0)</f>
        <v>15432.655080305032</v>
      </c>
      <c r="F20" s="7">
        <f>IF(B20&lt;='Вхідні данні'!$C$16,F19-C20:C21,0)</f>
        <v>379572.42705074011</v>
      </c>
    </row>
    <row r="21" spans="2:6" s="2" customFormat="1" x14ac:dyDescent="0.25">
      <c r="B21" s="6">
        <v>11</v>
      </c>
      <c r="C21" s="7">
        <f>IF(B21&lt;='Вхідні данні'!$C$16,-PPMT('Вхідні данні'!$C$26/12,B21,'Вхідні данні'!$C$16,'Вхідні данні'!$C$24,0),0)</f>
        <v>13854.266404485705</v>
      </c>
      <c r="D21" s="7">
        <f>IF(B21&lt;='Вхідні данні'!$C$16,F20*'Вхідні данні'!$C$26/12,0)</f>
        <v>1578.3886758193275</v>
      </c>
      <c r="E21" s="8">
        <f>IF(B21&lt;='Вхідні данні'!$C$16,C21+D21,0)</f>
        <v>15432.655080305032</v>
      </c>
      <c r="F21" s="7">
        <f>IF(B21&lt;='Вхідні данні'!$C$16,F20-C21:C22,0)</f>
        <v>365718.16064625443</v>
      </c>
    </row>
    <row r="22" spans="2:6" s="2" customFormat="1" x14ac:dyDescent="0.25">
      <c r="B22" s="6">
        <v>12</v>
      </c>
      <c r="C22" s="7">
        <f>IF(B22&lt;='Вхідні данні'!$C$16,-PPMT('Вхідні данні'!$C$26/12,B22,'Вхідні данні'!$C$16,'Вхідні данні'!$C$24,0),0)</f>
        <v>13911.877062284359</v>
      </c>
      <c r="D22" s="7">
        <f>IF(B22&lt;='Вхідні данні'!$C$16,F21*'Вхідні данні'!$C$26/12,0)</f>
        <v>1520.7780180206746</v>
      </c>
      <c r="E22" s="8">
        <f>IF(B22&lt;='Вхідні данні'!$C$16,C22+D22,0)</f>
        <v>15432.655080305034</v>
      </c>
      <c r="F22" s="7">
        <f>IF(B22&lt;='Вхідні данні'!$C$16,F21-C22:C23,0)</f>
        <v>351806.28358397004</v>
      </c>
    </row>
    <row r="23" spans="2:6" s="2" customFormat="1" x14ac:dyDescent="0.25">
      <c r="B23" s="6">
        <v>13</v>
      </c>
      <c r="C23" s="7">
        <f>IF(B23&lt;='Вхідні данні'!$C$16,-PPMT('Вхідні данні'!$C$26/12,B23,'Вхідні данні'!$C$16,'Вхідні данні'!$C$24,0),0)</f>
        <v>13969.727284401692</v>
      </c>
      <c r="D23" s="7">
        <f>IF(B23&lt;='Вхідні данні'!$C$16,F22*'Вхідні данні'!$C$26/12,0)</f>
        <v>1462.9277959033423</v>
      </c>
      <c r="E23" s="8">
        <f>IF(B23&lt;='Вхідні данні'!$C$16,C23+D23,0)</f>
        <v>15432.655080305034</v>
      </c>
      <c r="F23" s="7">
        <f>IF(B23&lt;='Вхідні данні'!$C$16,F22-C23:C24,0)</f>
        <v>337836.55629956833</v>
      </c>
    </row>
    <row r="24" spans="2:6" s="2" customFormat="1" x14ac:dyDescent="0.25">
      <c r="B24" s="6">
        <v>14</v>
      </c>
      <c r="C24" s="7">
        <f>IF(B24&lt;='Вхідні данні'!$C$16,-PPMT('Вхідні данні'!$C$26/12,B24,'Вхідні данні'!$C$16,'Вхідні данні'!$C$24,0),0)</f>
        <v>14027.818067025995</v>
      </c>
      <c r="D24" s="7">
        <f>IF(B24&lt;='Вхідні данні'!$C$16,F23*'Вхідні данні'!$C$26/12,0)</f>
        <v>1404.8370132790385</v>
      </c>
      <c r="E24" s="8">
        <f>IF(B24&lt;='Вхідні данні'!$C$16,C24+D24,0)</f>
        <v>15432.655080305034</v>
      </c>
      <c r="F24" s="7">
        <f>IF(B24&lt;='Вхідні данні'!$C$16,F23-C24:C25,0)</f>
        <v>323808.73823254235</v>
      </c>
    </row>
    <row r="25" spans="2:6" s="2" customFormat="1" x14ac:dyDescent="0.25">
      <c r="B25" s="6">
        <v>15</v>
      </c>
      <c r="C25" s="7">
        <f>IF(B25&lt;='Вхідні данні'!$C$16,-PPMT('Вхідні данні'!$C$26/12,B25,'Вхідні данні'!$C$16,'Вхідні данні'!$C$24,0),0)</f>
        <v>14086.150410488044</v>
      </c>
      <c r="D25" s="7">
        <f>IF(B25&lt;='Вхідні данні'!$C$16,F24*'Вхідні данні'!$C$26/12,0)</f>
        <v>1346.5046698169886</v>
      </c>
      <c r="E25" s="8">
        <f>IF(B25&lt;='Вхідні данні'!$C$16,C25+D25,0)</f>
        <v>15432.655080305032</v>
      </c>
      <c r="F25" s="7">
        <f>IF(B25&lt;='Вхідні данні'!$C$16,F24-C25:C26,0)</f>
        <v>309722.58782205428</v>
      </c>
    </row>
    <row r="26" spans="2:6" s="2" customFormat="1" x14ac:dyDescent="0.25">
      <c r="B26" s="6">
        <v>16</v>
      </c>
      <c r="C26" s="7">
        <f>IF(B26&lt;='Вхідні данні'!$C$16,-PPMT('Вхідні данні'!$C$26/12,B26,'Вхідні данні'!$C$16,'Вхідні данні'!$C$24,0),0)</f>
        <v>14144.725319278325</v>
      </c>
      <c r="D26" s="7">
        <f>IF(B26&lt;='Вхідні данні'!$C$16,F25*'Вхідні данні'!$C$26/12,0)</f>
        <v>1287.929761026709</v>
      </c>
      <c r="E26" s="8">
        <f>IF(B26&lt;='Вхідні данні'!$C$16,C26+D26,0)</f>
        <v>15432.655080305034</v>
      </c>
      <c r="F26" s="7">
        <f>IF(B26&lt;='Вхідні данні'!$C$16,F25-C26:C27,0)</f>
        <v>295577.86250277597</v>
      </c>
    </row>
    <row r="27" spans="2:6" s="2" customFormat="1" x14ac:dyDescent="0.25">
      <c r="B27" s="6">
        <v>17</v>
      </c>
      <c r="C27" s="7">
        <f>IF(B27&lt;='Вхідні данні'!$C$16,-PPMT('Вхідні данні'!$C$26/12,B27,'Вхідні данні'!$C$16,'Вхідні данні'!$C$24,0),0)</f>
        <v>14203.543802064321</v>
      </c>
      <c r="D27" s="7">
        <f>IF(B27&lt;='Вхідні данні'!$C$16,F26*'Вхідні данні'!$C$26/12,0)</f>
        <v>1229.1112782407101</v>
      </c>
      <c r="E27" s="8">
        <f>IF(B27&lt;='Вхідні данні'!$C$16,C27+D27,0)</f>
        <v>15432.655080305032</v>
      </c>
      <c r="F27" s="7">
        <f>IF(B27&lt;='Вхідні данні'!$C$16,F26-C27:C28,0)</f>
        <v>281374.31870071165</v>
      </c>
    </row>
    <row r="28" spans="2:6" s="2" customFormat="1" x14ac:dyDescent="0.25">
      <c r="B28" s="6">
        <v>18</v>
      </c>
      <c r="C28" s="7">
        <f>IF(B28&lt;='Вхідні данні'!$C$16,-PPMT('Вхідні данні'!$C$26/12,B28,'Вхідні данні'!$C$16,'Вхідні данні'!$C$24,0),0)</f>
        <v>14262.606871707907</v>
      </c>
      <c r="D28" s="7">
        <f>IF(B28&lt;='Вхідні данні'!$C$16,F27*'Вхідні данні'!$C$26/12,0)</f>
        <v>1170.0482085971259</v>
      </c>
      <c r="E28" s="8">
        <f>IF(B28&lt;='Вхідні данні'!$C$16,C28+D28,0)</f>
        <v>15432.655080305032</v>
      </c>
      <c r="F28" s="7">
        <f>IF(B28&lt;='Вхідні данні'!$C$16,F27-C28:C29,0)</f>
        <v>267111.71182900376</v>
      </c>
    </row>
    <row r="29" spans="2:6" s="2" customFormat="1" x14ac:dyDescent="0.25">
      <c r="B29" s="6">
        <v>19</v>
      </c>
      <c r="C29" s="7">
        <f>IF(B29&lt;='Вхідні данні'!$C$16,-PPMT('Вхідні данні'!$C$26/12,B29,'Вхідні данні'!$C$16,'Вхідні данні'!$C$24,0),0)</f>
        <v>14321.915545282758</v>
      </c>
      <c r="D29" s="7">
        <f>IF(B29&lt;='Вхідні данні'!$C$16,F28*'Вхідні данні'!$C$26/12,0)</f>
        <v>1110.7395350222739</v>
      </c>
      <c r="E29" s="8">
        <f>IF(B29&lt;='Вхідні данні'!$C$16,C29+D29,0)</f>
        <v>15432.655080305032</v>
      </c>
      <c r="F29" s="7">
        <f>IF(B29&lt;='Вхідні данні'!$C$16,F28-C29:C30,0)</f>
        <v>252789.79628372099</v>
      </c>
    </row>
    <row r="30" spans="2:6" s="2" customFormat="1" x14ac:dyDescent="0.25">
      <c r="B30" s="6">
        <v>20</v>
      </c>
      <c r="C30" s="7">
        <f>IF(B30&lt;='Вхідні данні'!$C$16,-PPMT('Вхідні данні'!$C$26/12,B30,'Вхідні данні'!$C$16,'Вхідні данні'!$C$24,0),0)</f>
        <v>14381.470844091891</v>
      </c>
      <c r="D30" s="7">
        <f>IF(B30&lt;='Вхідні данні'!$C$16,F29*'Вхідні данні'!$C$26/12,0)</f>
        <v>1051.1842362131399</v>
      </c>
      <c r="E30" s="8">
        <f>IF(B30&lt;='Вхідні данні'!$C$16,C30+D30,0)</f>
        <v>15432.65508030503</v>
      </c>
      <c r="F30" s="7">
        <f>IF(B30&lt;='Вхідні данні'!$C$16,F29-C30:C31,0)</f>
        <v>238408.32543962909</v>
      </c>
    </row>
    <row r="31" spans="2:6" s="2" customFormat="1" x14ac:dyDescent="0.25">
      <c r="B31" s="6">
        <v>21</v>
      </c>
      <c r="C31" s="7">
        <f>IF(B31&lt;='Вхідні данні'!$C$16,-PPMT('Вхідні данні'!$C$26/12,B31,'Вхідні данні'!$C$16,'Вхідні данні'!$C$24,0),0)</f>
        <v>14441.273793685241</v>
      </c>
      <c r="D31" s="7">
        <f>IF(B31&lt;='Вхідні данні'!$C$16,F30*'Вхідні данні'!$C$26/12,0)</f>
        <v>991.3812866197909</v>
      </c>
      <c r="E31" s="8">
        <f>IF(B31&lt;='Вхідні данні'!$C$16,C31+D31,0)</f>
        <v>15432.655080305032</v>
      </c>
      <c r="F31" s="7">
        <f>IF(B31&lt;='Вхідні данні'!$C$16,F30-C31:C32,0)</f>
        <v>223967.05164594384</v>
      </c>
    </row>
    <row r="32" spans="2:6" s="2" customFormat="1" x14ac:dyDescent="0.25">
      <c r="B32" s="6">
        <v>22</v>
      </c>
      <c r="C32" s="7">
        <f>IF(B32&lt;='Вхідні данні'!$C$16,-PPMT('Вхідні данні'!$C$26/12,B32,'Вхідні данні'!$C$16,'Вхідні данні'!$C$24,0),0)</f>
        <v>14501.325423877315</v>
      </c>
      <c r="D32" s="7">
        <f>IF(B32&lt;='Вхідні данні'!$C$16,F31*'Вхідні данні'!$C$26/12,0)</f>
        <v>931.32965642771649</v>
      </c>
      <c r="E32" s="8">
        <f>IF(B32&lt;='Вхідні данні'!$C$16,C32+D32,0)</f>
        <v>15432.655080305032</v>
      </c>
      <c r="F32" s="7">
        <f>IF(B32&lt;='Вхідні данні'!$C$16,F31-C32:C33,0)</f>
        <v>209465.72622206653</v>
      </c>
    </row>
    <row r="33" spans="2:6" s="2" customFormat="1" x14ac:dyDescent="0.25">
      <c r="B33" s="6">
        <v>23</v>
      </c>
      <c r="C33" s="7">
        <f>IF(B33&lt;='Вхідні данні'!$C$16,-PPMT('Вхідні данні'!$C$26/12,B33,'Вхідні данні'!$C$16,'Вхідні данні'!$C$24,0),0)</f>
        <v>14561.62676876494</v>
      </c>
      <c r="D33" s="7">
        <f>IF(B33&lt;='Вхідні данні'!$C$16,F32*'Вхідні данні'!$C$26/12,0)</f>
        <v>871.02831154009334</v>
      </c>
      <c r="E33" s="8">
        <f>IF(B33&lt;='Вхідні данні'!$C$16,C33+D33,0)</f>
        <v>15432.655080305032</v>
      </c>
      <c r="F33" s="7">
        <f>IF(B33&lt;='Вхідні данні'!$C$16,F32-C33:C34,0)</f>
        <v>194904.09945330158</v>
      </c>
    </row>
    <row r="34" spans="2:6" s="2" customFormat="1" x14ac:dyDescent="0.25">
      <c r="B34" s="6">
        <v>24</v>
      </c>
      <c r="C34" s="7">
        <f>IF(B34&lt;='Вхідні данні'!$C$16,-PPMT('Вхідні данні'!$C$26/12,B34,'Вхідні данні'!$C$16,'Вхідні данні'!$C$24,0),0)</f>
        <v>14622.178866745053</v>
      </c>
      <c r="D34" s="7">
        <f>IF(B34&lt;='Вхідні данні'!$C$16,F33*'Вхідні данні'!$C$26/12,0)</f>
        <v>810.47621355997899</v>
      </c>
      <c r="E34" s="8">
        <f>IF(B34&lt;='Вхідні данні'!$C$16,C34+D34,0)</f>
        <v>15432.655080305032</v>
      </c>
      <c r="F34" s="7">
        <f>IF(B34&lt;='Вхідні данні'!$C$16,F33-C34:C35,0)</f>
        <v>180281.92058655652</v>
      </c>
    </row>
    <row r="35" spans="2:6" s="2" customFormat="1" x14ac:dyDescent="0.25">
      <c r="B35" s="6">
        <v>25</v>
      </c>
      <c r="C35" s="7">
        <f>IF(B35&lt;='Вхідні данні'!$C$16,-PPMT('Вхідні данні'!$C$26/12,B35,'Вхідні данні'!$C$16,'Вхідні данні'!$C$24,0),0)</f>
        <v>14682.982760532601</v>
      </c>
      <c r="D35" s="7">
        <f>IF(B35&lt;='Вхідні данні'!$C$16,F34*'Вхідні данні'!$C$26/12,0)</f>
        <v>749.67231977243091</v>
      </c>
      <c r="E35" s="8">
        <f>IF(B35&lt;='Вхідні данні'!$C$16,C35+D35,0)</f>
        <v>15432.655080305032</v>
      </c>
      <c r="F35" s="7">
        <f>IF(B35&lt;='Вхідні данні'!$C$16,F34-C35:C36,0)</f>
        <v>165598.9378260239</v>
      </c>
    </row>
    <row r="36" spans="2:6" s="2" customFormat="1" x14ac:dyDescent="0.25">
      <c r="B36" s="6">
        <v>26</v>
      </c>
      <c r="C36" s="7">
        <f>IF(B36&lt;='Вхідні данні'!$C$16,-PPMT('Вхідні данні'!$C$26/12,B36,'Вхідні данні'!$C$16,'Вхідні данні'!$C$24,0),0)</f>
        <v>14744.039497178481</v>
      </c>
      <c r="D36" s="7">
        <f>IF(B36&lt;='Вхідні данні'!$C$16,F35*'Вхідні данні'!$C$26/12,0)</f>
        <v>688.6155831265495</v>
      </c>
      <c r="E36" s="8">
        <f>IF(B36&lt;='Вхідні данні'!$C$16,C36+D36,0)</f>
        <v>15432.65508030503</v>
      </c>
      <c r="F36" s="7">
        <f>IF(B36&lt;='Вхідні данні'!$C$16,F35-C36:C37,0)</f>
        <v>150854.89832884542</v>
      </c>
    </row>
    <row r="37" spans="2:6" s="2" customFormat="1" x14ac:dyDescent="0.25">
      <c r="B37" s="6">
        <v>27</v>
      </c>
      <c r="C37" s="7">
        <f>IF(B37&lt;='Вхідні данні'!$C$16,-PPMT('Вхідні данні'!$C$26/12,B37,'Вхідні данні'!$C$16,'Вхідні данні'!$C$24,0),0)</f>
        <v>14805.350128087584</v>
      </c>
      <c r="D37" s="7">
        <f>IF(B37&lt;='Вхідні данні'!$C$16,F36*'Вхідні данні'!$C$26/12,0)</f>
        <v>627.30495221744889</v>
      </c>
      <c r="E37" s="8">
        <f>IF(B37&lt;='Вхідні данні'!$C$16,C37+D37,0)</f>
        <v>15432.655080305034</v>
      </c>
      <c r="F37" s="7">
        <f>IF(B37&lt;='Вхідні данні'!$C$16,F36-C37:C38,0)</f>
        <v>136049.54820075782</v>
      </c>
    </row>
    <row r="38" spans="2:6" s="2" customFormat="1" x14ac:dyDescent="0.25">
      <c r="B38" s="6">
        <v>28</v>
      </c>
      <c r="C38" s="7">
        <f>IF(B38&lt;='Вхідні данні'!$C$16,-PPMT('Вхідні данні'!$C$26/12,B38,'Вхідні данні'!$C$16,'Вхідні данні'!$C$24,0),0)</f>
        <v>14866.915709036879</v>
      </c>
      <c r="D38" s="7">
        <f>IF(B38&lt;='Вхідні данні'!$C$16,F37*'Вхідні данні'!$C$26/12,0)</f>
        <v>565.73937126815133</v>
      </c>
      <c r="E38" s="8">
        <f>IF(B38&lt;='Вхідні данні'!$C$16,C38+D38,0)</f>
        <v>15432.65508030503</v>
      </c>
      <c r="F38" s="7">
        <f>IF(B38&lt;='Вхідні данні'!$C$16,F37-C38:C39,0)</f>
        <v>121182.63249172094</v>
      </c>
    </row>
    <row r="39" spans="2:6" s="2" customFormat="1" x14ac:dyDescent="0.25">
      <c r="B39" s="6">
        <v>29</v>
      </c>
      <c r="C39" s="7">
        <f>IF(B39&lt;='Вхідні данні'!$C$16,-PPMT('Вхідні данні'!$C$26/12,B39,'Вхідні данні'!$C$16,'Вхідні данні'!$C$24,0),0)</f>
        <v>14928.737300193627</v>
      </c>
      <c r="D39" s="7">
        <f>IF(B39&lt;='Вхідні данні'!$C$16,F38*'Вхідні данні'!$C$26/12,0)</f>
        <v>503.91778011140627</v>
      </c>
      <c r="E39" s="8">
        <f>IF(B39&lt;='Вхідні данні'!$C$16,C39+D39,0)</f>
        <v>15432.655080305032</v>
      </c>
      <c r="F39" s="7">
        <f>IF(B39&lt;='Вхідні данні'!$C$16,F38-C39:C40,0)</f>
        <v>106253.89519152732</v>
      </c>
    </row>
    <row r="40" spans="2:6" s="2" customFormat="1" x14ac:dyDescent="0.25">
      <c r="B40" s="6">
        <v>30</v>
      </c>
      <c r="C40" s="7">
        <f>IF(B40&lt;='Вхідні данні'!$C$16,-PPMT('Вхідні данні'!$C$26/12,B40,'Вхідні данні'!$C$16,'Вхідні данні'!$C$24,0),0)</f>
        <v>14990.815966133598</v>
      </c>
      <c r="D40" s="7">
        <f>IF(B40&lt;='Вхідні данні'!$C$16,F39*'Вхідні данні'!$C$26/12,0)</f>
        <v>441.83911417143446</v>
      </c>
      <c r="E40" s="8">
        <f>IF(B40&lt;='Вхідні данні'!$C$16,C40+D40,0)</f>
        <v>15432.655080305032</v>
      </c>
      <c r="F40" s="7">
        <f>IF(B40&lt;='Вхідні данні'!$C$16,F39-C40:C41,0)</f>
        <v>91263.079225393725</v>
      </c>
    </row>
    <row r="41" spans="2:6" s="2" customFormat="1" x14ac:dyDescent="0.25">
      <c r="B41" s="6">
        <v>31</v>
      </c>
      <c r="C41" s="7">
        <f>IF(B41&lt;='Вхідні данні'!$C$16,-PPMT('Вхідні данні'!$C$26/12,B41,'Вхідні данні'!$C$16,'Вхідні данні'!$C$24,0),0)</f>
        <v>15053.152775859437</v>
      </c>
      <c r="D41" s="7">
        <f>IF(B41&lt;='Вхідні данні'!$C$16,F40*'Вхідні данні'!$C$26/12,0)</f>
        <v>379.5023044455956</v>
      </c>
      <c r="E41" s="8">
        <f>IF(B41&lt;='Вхідні данні'!$C$16,C41+D41,0)</f>
        <v>15432.655080305032</v>
      </c>
      <c r="F41" s="7">
        <f>IF(B41&lt;='Вхідні данні'!$C$16,F40-C41:C42,0)</f>
        <v>76209.926449534294</v>
      </c>
    </row>
    <row r="42" spans="2:6" s="2" customFormat="1" x14ac:dyDescent="0.25">
      <c r="B42" s="6">
        <v>32</v>
      </c>
      <c r="C42" s="7">
        <f>IF(B42&lt;='Вхідні данні'!$C$16,-PPMT('Вхідні данні'!$C$26/12,B42,'Вхідні данні'!$C$16,'Вхідні данні'!$C$24,0),0)</f>
        <v>15115.748802819051</v>
      </c>
      <c r="D42" s="7">
        <f>IF(B42&lt;='Вхідні данні'!$C$16,F41*'Вхідні данні'!$C$26/12,0)</f>
        <v>316.90627748598007</v>
      </c>
      <c r="E42" s="8">
        <f>IF(B42&lt;='Вхідні данні'!$C$16,C42+D42,0)</f>
        <v>15432.65508030503</v>
      </c>
      <c r="F42" s="7">
        <f>IF(B42&lt;='Вхідні данні'!$C$16,F41-C42:C43,0)</f>
        <v>61094.177646715245</v>
      </c>
    </row>
    <row r="43" spans="2:6" s="2" customFormat="1" x14ac:dyDescent="0.25">
      <c r="B43" s="6">
        <v>33</v>
      </c>
      <c r="C43" s="7">
        <f>IF(B43&lt;='Вхідні данні'!$C$16,-PPMT('Вхідні данні'!$C$26/12,B43,'Вхідні данні'!$C$16,'Вхідні данні'!$C$24,0),0)</f>
        <v>15178.605124924108</v>
      </c>
      <c r="D43" s="7">
        <f>IF(B43&lt;='Вхідні данні'!$C$16,F42*'Вхідні данні'!$C$26/12,0)</f>
        <v>254.04995538092422</v>
      </c>
      <c r="E43" s="8">
        <f>IF(B43&lt;='Вхідні данні'!$C$16,C43+D43,0)</f>
        <v>15432.655080305032</v>
      </c>
      <c r="F43" s="7">
        <f>IF(B43&lt;='Вхідні данні'!$C$16,F42-C43:C44,0)</f>
        <v>45915.572521791139</v>
      </c>
    </row>
    <row r="44" spans="2:6" s="2" customFormat="1" x14ac:dyDescent="0.25">
      <c r="B44" s="6">
        <v>34</v>
      </c>
      <c r="C44" s="7">
        <f>IF(B44&lt;='Вхідні данні'!$C$16,-PPMT('Вхідні данні'!$C$26/12,B44,'Вхідні данні'!$C$16,'Вхідні данні'!$C$24,0),0)</f>
        <v>15241.722824568586</v>
      </c>
      <c r="D44" s="7">
        <f>IF(B44&lt;='Вхідні данні'!$C$16,F43*'Вхідні данні'!$C$26/12,0)</f>
        <v>190.93225573644816</v>
      </c>
      <c r="E44" s="8">
        <f>IF(B44&lt;='Вхідні данні'!$C$16,C44+D44,0)</f>
        <v>15432.655080305034</v>
      </c>
      <c r="F44" s="7">
        <f>IF(B44&lt;='Вхідні данні'!$C$16,F43-C44:C45,0)</f>
        <v>30673.849697222555</v>
      </c>
    </row>
    <row r="45" spans="2:6" s="2" customFormat="1" x14ac:dyDescent="0.25">
      <c r="B45" s="6">
        <v>35</v>
      </c>
      <c r="C45" s="7">
        <f>IF(B45&lt;='Вхідні данні'!$C$16,-PPMT('Вхідні данні'!$C$26/12,B45,'Вхідні данні'!$C$16,'Вхідні данні'!$C$24,0),0)</f>
        <v>15305.102988647415</v>
      </c>
      <c r="D45" s="7">
        <f>IF(B45&lt;='Вхідні данні'!$C$16,F44*'Вхідні данні'!$C$26/12,0)</f>
        <v>127.55209165761711</v>
      </c>
      <c r="E45" s="8">
        <f>IF(B45&lt;='Вхідні данні'!$C$16,C45+D45,0)</f>
        <v>15432.655080305032</v>
      </c>
      <c r="F45" s="7">
        <f>IF(B45&lt;='Вхідні данні'!$C$16,F44-C45:C46,0)</f>
        <v>15368.74670857514</v>
      </c>
    </row>
    <row r="46" spans="2:6" s="2" customFormat="1" x14ac:dyDescent="0.25">
      <c r="B46" s="6">
        <v>36</v>
      </c>
      <c r="C46" s="7">
        <f>IF(B46&lt;='Вхідні данні'!$C$16,-PPMT('Вхідні данні'!$C$26/12,B46,'Вхідні данні'!$C$16,'Вхідні данні'!$C$24,0),0)</f>
        <v>15368.746708575207</v>
      </c>
      <c r="D46" s="7">
        <f>IF(B46&lt;='Вхідні данні'!$C$16,F45*'Вхідні данні'!$C$26/12,0)</f>
        <v>63.908371729824957</v>
      </c>
      <c r="E46" s="8">
        <f>IF(B46&lt;='Вхідні данні'!$C$16,C46+D46,0)</f>
        <v>15432.655080305032</v>
      </c>
      <c r="F46" s="7">
        <f>IF(B46&lt;='Вхідні данні'!$C$16,F45-C46:C47,0)</f>
        <v>-6.730260793119669E-11</v>
      </c>
    </row>
    <row r="47" spans="2:6" s="2" customFormat="1" x14ac:dyDescent="0.25">
      <c r="B47" s="6">
        <v>37</v>
      </c>
      <c r="C47" s="7">
        <f>IF(B47&lt;='Вхідні данні'!$C$16,-PPMT('Вхідні данні'!$C$26/12,B47,'Вхідні данні'!$C$16,'Вхідні данні'!$C$24,0),0)</f>
        <v>0</v>
      </c>
      <c r="D47" s="7">
        <f>IF(B47&lt;='Вхідні данні'!$C$16,F46*'Вхідні данні'!$C$26/12,0)</f>
        <v>0</v>
      </c>
      <c r="E47" s="8">
        <f>IF(B47&lt;='Вхідні данні'!$C$16,C47+D47,0)</f>
        <v>0</v>
      </c>
      <c r="F47" s="7">
        <f>IF(B47&lt;='Вхідні данні'!$C$16,F46-C47:C48,0)</f>
        <v>0</v>
      </c>
    </row>
    <row r="48" spans="2:6" s="2" customFormat="1" x14ac:dyDescent="0.25">
      <c r="B48" s="6">
        <v>38</v>
      </c>
      <c r="C48" s="7">
        <f>IF(B48&lt;='Вхідні данні'!$C$16,-PPMT('Вхідні данні'!$C$26/12,B48,'Вхідні данні'!$C$16,'Вхідні данні'!$C$24,0),0)</f>
        <v>0</v>
      </c>
      <c r="D48" s="7">
        <f>IF(B48&lt;='Вхідні данні'!$C$16,F47*'Вхідні данні'!$C$26/12,0)</f>
        <v>0</v>
      </c>
      <c r="E48" s="8">
        <f>IF(B48&lt;='Вхідні данні'!$C$16,C48+D48,0)</f>
        <v>0</v>
      </c>
      <c r="F48" s="7">
        <f>IF(B48&lt;='Вхідні данні'!$C$16,F47-C48:C49,0)</f>
        <v>0</v>
      </c>
    </row>
    <row r="49" spans="2:6" s="2" customFormat="1" x14ac:dyDescent="0.25">
      <c r="B49" s="6">
        <v>39</v>
      </c>
      <c r="C49" s="7">
        <f>IF(B49&lt;='Вхідні данні'!$C$16,-PPMT('Вхідні данні'!$C$26/12,B49,'Вхідні данні'!$C$16,'Вхідні данні'!$C$24,0),0)</f>
        <v>0</v>
      </c>
      <c r="D49" s="7">
        <f>IF(B49&lt;='Вхідні данні'!$C$16,F48*'Вхідні данні'!$C$26/12,0)</f>
        <v>0</v>
      </c>
      <c r="E49" s="8">
        <f>IF(B49&lt;='Вхідні данні'!$C$16,C49+D49,0)</f>
        <v>0</v>
      </c>
      <c r="F49" s="7">
        <f>IF(B49&lt;='Вхідні данні'!$C$16,F48-C49:C50,0)</f>
        <v>0</v>
      </c>
    </row>
    <row r="50" spans="2:6" s="2" customFormat="1" x14ac:dyDescent="0.25">
      <c r="B50" s="6">
        <v>40</v>
      </c>
      <c r="C50" s="7">
        <f>IF(B50&lt;='Вхідні данні'!$C$16,-PPMT('Вхідні данні'!$C$26/12,B50,'Вхідні данні'!$C$16,'Вхідні данні'!$C$24,0),0)</f>
        <v>0</v>
      </c>
      <c r="D50" s="7">
        <f>IF(B50&lt;='Вхідні данні'!$C$16,F49*'Вхідні данні'!$C$26/12,0)</f>
        <v>0</v>
      </c>
      <c r="E50" s="8">
        <f>IF(B50&lt;='Вхідні данні'!$C$16,C50+D50,0)</f>
        <v>0</v>
      </c>
      <c r="F50" s="7">
        <f>IF(B50&lt;='Вхідні данні'!$C$16,F49-C50:C51,0)</f>
        <v>0</v>
      </c>
    </row>
    <row r="51" spans="2:6" s="2" customFormat="1" x14ac:dyDescent="0.25">
      <c r="B51" s="6">
        <v>41</v>
      </c>
      <c r="C51" s="7">
        <f>IF(B51&lt;='Вхідні данні'!$C$16,-PPMT('Вхідні данні'!$C$26/12,B51,'Вхідні данні'!$C$16,'Вхідні данні'!$C$24,0),0)</f>
        <v>0</v>
      </c>
      <c r="D51" s="7">
        <f>IF(B51&lt;='Вхідні данні'!$C$16,F50*'Вхідні данні'!$C$26/12,0)</f>
        <v>0</v>
      </c>
      <c r="E51" s="8">
        <f>IF(B51&lt;='Вхідні данні'!$C$16,C51+D51,0)</f>
        <v>0</v>
      </c>
      <c r="F51" s="7">
        <f>IF(B51&lt;='Вхідні данні'!$C$16,F50-C51:C52,0)</f>
        <v>0</v>
      </c>
    </row>
    <row r="52" spans="2:6" s="2" customFormat="1" x14ac:dyDescent="0.25">
      <c r="B52" s="6">
        <v>42</v>
      </c>
      <c r="C52" s="7">
        <f>IF(B52&lt;='Вхідні данні'!$C$16,-PPMT('Вхідні данні'!$C$26/12,B52,'Вхідні данні'!$C$16,'Вхідні данні'!$C$24,0),0)</f>
        <v>0</v>
      </c>
      <c r="D52" s="7">
        <f>IF(B52&lt;='Вхідні данні'!$C$16,F51*'Вхідні данні'!$C$26/12,0)</f>
        <v>0</v>
      </c>
      <c r="E52" s="8">
        <f>IF(B52&lt;='Вхідні данні'!$C$16,C52+D52,0)</f>
        <v>0</v>
      </c>
      <c r="F52" s="7">
        <f>IF(B52&lt;='Вхідні данні'!$C$16,F51-C52:C53,0)</f>
        <v>0</v>
      </c>
    </row>
    <row r="53" spans="2:6" s="2" customFormat="1" x14ac:dyDescent="0.25">
      <c r="B53" s="6">
        <v>43</v>
      </c>
      <c r="C53" s="7">
        <f>IF(B53&lt;='Вхідні данні'!$C$16,-PPMT('Вхідні данні'!$C$26/12,B53,'Вхідні данні'!$C$16,'Вхідні данні'!$C$24,0),0)</f>
        <v>0</v>
      </c>
      <c r="D53" s="7">
        <f>IF(B53&lt;='Вхідні данні'!$C$16,F52*'Вхідні данні'!$C$26/12,0)</f>
        <v>0</v>
      </c>
      <c r="E53" s="8">
        <f>IF(B53&lt;='Вхідні данні'!$C$16,C53+D53,0)</f>
        <v>0</v>
      </c>
      <c r="F53" s="7">
        <f>IF(B53&lt;='Вхідні данні'!$C$16,F52-C53:C54,0)</f>
        <v>0</v>
      </c>
    </row>
    <row r="54" spans="2:6" s="2" customFormat="1" x14ac:dyDescent="0.25">
      <c r="B54" s="6">
        <v>44</v>
      </c>
      <c r="C54" s="7">
        <f>IF(B54&lt;='Вхідні данні'!$C$16,-PPMT('Вхідні данні'!$C$26/12,B54,'Вхідні данні'!$C$16,'Вхідні данні'!$C$24,0),0)</f>
        <v>0</v>
      </c>
      <c r="D54" s="7">
        <f>IF(B54&lt;='Вхідні данні'!$C$16,F53*'Вхідні данні'!$C$26/12,0)</f>
        <v>0</v>
      </c>
      <c r="E54" s="8">
        <f>IF(B54&lt;='Вхідні данні'!$C$16,C54+D54,0)</f>
        <v>0</v>
      </c>
      <c r="F54" s="7">
        <f>IF(B54&lt;='Вхідні данні'!$C$16,F53-C54:C55,0)</f>
        <v>0</v>
      </c>
    </row>
    <row r="55" spans="2:6" s="2" customFormat="1" x14ac:dyDescent="0.25">
      <c r="B55" s="6">
        <v>45</v>
      </c>
      <c r="C55" s="7">
        <f>IF(B55&lt;='Вхідні данні'!$C$16,-PPMT('Вхідні данні'!$C$26/12,B55,'Вхідні данні'!$C$16,'Вхідні данні'!$C$24,0),0)</f>
        <v>0</v>
      </c>
      <c r="D55" s="7">
        <f>IF(B55&lt;='Вхідні данні'!$C$16,F54*'Вхідні данні'!$C$26/12,0)</f>
        <v>0</v>
      </c>
      <c r="E55" s="8">
        <f>IF(B55&lt;='Вхідні данні'!$C$16,C55+D55,0)</f>
        <v>0</v>
      </c>
      <c r="F55" s="7">
        <f>IF(B55&lt;='Вхідні данні'!$C$16,F54-C55:C56,0)</f>
        <v>0</v>
      </c>
    </row>
    <row r="56" spans="2:6" s="2" customFormat="1" x14ac:dyDescent="0.25">
      <c r="B56" s="6">
        <v>46</v>
      </c>
      <c r="C56" s="7">
        <f>IF(B56&lt;='Вхідні данні'!$C$16,-PPMT('Вхідні данні'!$C$26/12,B56,'Вхідні данні'!$C$16,'Вхідні данні'!$C$24,0),0)</f>
        <v>0</v>
      </c>
      <c r="D56" s="7">
        <f>IF(B56&lt;='Вхідні данні'!$C$16,F55*'Вхідні данні'!$C$26/12,0)</f>
        <v>0</v>
      </c>
      <c r="E56" s="8">
        <f>IF(B56&lt;='Вхідні данні'!$C$16,C56+D56,0)</f>
        <v>0</v>
      </c>
      <c r="F56" s="7">
        <f>IF(B56&lt;='Вхідні данні'!$C$16,F55-C56:C57,0)</f>
        <v>0</v>
      </c>
    </row>
    <row r="57" spans="2:6" s="2" customFormat="1" x14ac:dyDescent="0.25">
      <c r="B57" s="6">
        <v>47</v>
      </c>
      <c r="C57" s="7">
        <f>IF(B57&lt;='Вхідні данні'!$C$16,-PPMT('Вхідні данні'!$C$26/12,B57,'Вхідні данні'!$C$16,'Вхідні данні'!$C$24,0),0)</f>
        <v>0</v>
      </c>
      <c r="D57" s="7">
        <f>IF(B57&lt;='Вхідні данні'!$C$16,F56*'Вхідні данні'!$C$26/12,0)</f>
        <v>0</v>
      </c>
      <c r="E57" s="8">
        <f>IF(B57&lt;='Вхідні данні'!$C$16,C57+D57,0)</f>
        <v>0</v>
      </c>
      <c r="F57" s="7">
        <f>IF(B57&lt;='Вхідні данні'!$C$16,F56-C57:C58,0)</f>
        <v>0</v>
      </c>
    </row>
    <row r="58" spans="2:6" s="2" customFormat="1" x14ac:dyDescent="0.25">
      <c r="B58" s="6">
        <v>48</v>
      </c>
      <c r="C58" s="7">
        <f>IF(B58&lt;='Вхідні данні'!$C$16,-PPMT('Вхідні данні'!$C$26/12,B58,'Вхідні данні'!$C$16,'Вхідні данні'!$C$24,0),0)</f>
        <v>0</v>
      </c>
      <c r="D58" s="7">
        <f>IF(B58&lt;='Вхідні данні'!$C$16,F57*'Вхідні данні'!$C$26/12,0)</f>
        <v>0</v>
      </c>
      <c r="E58" s="8">
        <f>IF(B58&lt;='Вхідні данні'!$C$16,C58+D58,0)</f>
        <v>0</v>
      </c>
      <c r="F58" s="7">
        <f>IF(B58&lt;='Вхідні данні'!$C$16,F57-C58:C59,0)</f>
        <v>0</v>
      </c>
    </row>
    <row r="59" spans="2:6" s="2" customFormat="1" x14ac:dyDescent="0.25">
      <c r="B59" s="6">
        <v>49</v>
      </c>
      <c r="C59" s="7">
        <f>IF(B59&lt;='Вхідні данні'!$C$16,-PPMT('Вхідні данні'!$C$26/12,B59,'Вхідні данні'!$C$16,'Вхідні данні'!$C$24,0),0)</f>
        <v>0</v>
      </c>
      <c r="D59" s="7">
        <f>IF(B59&lt;='Вхідні данні'!$C$16,F58*'Вхідні данні'!$C$26/12,0)</f>
        <v>0</v>
      </c>
      <c r="E59" s="8">
        <f>IF(B59&lt;='Вхідні данні'!$C$16,C59+D59,0)</f>
        <v>0</v>
      </c>
      <c r="F59" s="7">
        <f>IF(B59&lt;='Вхідні данні'!$C$16,F58-C59:C60,0)</f>
        <v>0</v>
      </c>
    </row>
    <row r="60" spans="2:6" s="2" customFormat="1" x14ac:dyDescent="0.25">
      <c r="B60" s="6">
        <v>50</v>
      </c>
      <c r="C60" s="7">
        <f>IF(B60&lt;='Вхідні данні'!$C$16,-PPMT('Вхідні данні'!$C$26/12,B60,'Вхідні данні'!$C$16,'Вхідні данні'!$C$24,0),0)</f>
        <v>0</v>
      </c>
      <c r="D60" s="7">
        <f>IF(B60&lt;='Вхідні данні'!$C$16,F59*'Вхідні данні'!$C$26/12,0)</f>
        <v>0</v>
      </c>
      <c r="E60" s="8">
        <f>IF(B60&lt;='Вхідні данні'!$C$16,C60+D60,0)</f>
        <v>0</v>
      </c>
      <c r="F60" s="7">
        <f>IF(B60&lt;='Вхідні данні'!$C$16,F59-C60:C61,0)</f>
        <v>0</v>
      </c>
    </row>
    <row r="61" spans="2:6" s="2" customFormat="1" x14ac:dyDescent="0.25">
      <c r="B61" s="6">
        <v>51</v>
      </c>
      <c r="C61" s="7">
        <f>IF(B61&lt;='Вхідні данні'!$C$16,-PPMT('Вхідні данні'!$C$26/12,B61,'Вхідні данні'!$C$16,'Вхідні данні'!$C$24,0),0)</f>
        <v>0</v>
      </c>
      <c r="D61" s="7">
        <f>IF(B61&lt;='Вхідні данні'!$C$16,F60*'Вхідні данні'!$C$26/12,0)</f>
        <v>0</v>
      </c>
      <c r="E61" s="8">
        <f>IF(B61&lt;='Вхідні данні'!$C$16,C61+D61,0)</f>
        <v>0</v>
      </c>
      <c r="F61" s="7">
        <f>IF(B61&lt;='Вхідні данні'!$C$16,F60-C61:C62,0)</f>
        <v>0</v>
      </c>
    </row>
    <row r="62" spans="2:6" s="2" customFormat="1" x14ac:dyDescent="0.25">
      <c r="B62" s="6">
        <v>52</v>
      </c>
      <c r="C62" s="7">
        <f>IF(B62&lt;='Вхідні данні'!$C$16,-PPMT('Вхідні данні'!$C$26/12,B62,'Вхідні данні'!$C$16,'Вхідні данні'!$C$24,0),0)</f>
        <v>0</v>
      </c>
      <c r="D62" s="7">
        <f>IF(B62&lt;='Вхідні данні'!$C$16,F61*'Вхідні данні'!$C$26/12,0)</f>
        <v>0</v>
      </c>
      <c r="E62" s="8">
        <f>IF(B62&lt;='Вхідні данні'!$C$16,C62+D62,0)</f>
        <v>0</v>
      </c>
      <c r="F62" s="7">
        <f>IF(B62&lt;='Вхідні данні'!$C$16,F61-C62:C63,0)</f>
        <v>0</v>
      </c>
    </row>
    <row r="63" spans="2:6" s="2" customFormat="1" x14ac:dyDescent="0.25">
      <c r="B63" s="6">
        <v>53</v>
      </c>
      <c r="C63" s="7">
        <f>IF(B63&lt;='Вхідні данні'!$C$16,-PPMT('Вхідні данні'!$C$26/12,B63,'Вхідні данні'!$C$16,'Вхідні данні'!$C$24,0),0)</f>
        <v>0</v>
      </c>
      <c r="D63" s="7">
        <f>IF(B63&lt;='Вхідні данні'!$C$16,F62*'Вхідні данні'!$C$26/12,0)</f>
        <v>0</v>
      </c>
      <c r="E63" s="8">
        <f>IF(B63&lt;='Вхідні данні'!$C$16,C63+D63,0)</f>
        <v>0</v>
      </c>
      <c r="F63" s="7">
        <f>IF(B63&lt;='Вхідні данні'!$C$16,F62-C63:C64,0)</f>
        <v>0</v>
      </c>
    </row>
    <row r="64" spans="2:6" s="2" customFormat="1" x14ac:dyDescent="0.25">
      <c r="B64" s="6">
        <v>54</v>
      </c>
      <c r="C64" s="7">
        <f>IF(B64&lt;='Вхідні данні'!$C$16,-PPMT('Вхідні данні'!$C$26/12,B64,'Вхідні данні'!$C$16,'Вхідні данні'!$C$24,0),0)</f>
        <v>0</v>
      </c>
      <c r="D64" s="7">
        <f>IF(B64&lt;='Вхідні данні'!$C$16,F63*'Вхідні данні'!$C$26/12,0)</f>
        <v>0</v>
      </c>
      <c r="E64" s="8">
        <f>IF(B64&lt;='Вхідні данні'!$C$16,C64+D64,0)</f>
        <v>0</v>
      </c>
      <c r="F64" s="7">
        <f>IF(B64&lt;='Вхідні данні'!$C$16,F63-C64:C65,0)</f>
        <v>0</v>
      </c>
    </row>
    <row r="65" spans="2:6" s="2" customFormat="1" x14ac:dyDescent="0.25">
      <c r="B65" s="6">
        <v>55</v>
      </c>
      <c r="C65" s="7">
        <f>IF(B65&lt;='Вхідні данні'!$C$16,-PPMT('Вхідні данні'!$C$26/12,B65,'Вхідні данні'!$C$16,'Вхідні данні'!$C$24,0),0)</f>
        <v>0</v>
      </c>
      <c r="D65" s="7">
        <f>IF(B65&lt;='Вхідні данні'!$C$16,F64*'Вхідні данні'!$C$26/12,0)</f>
        <v>0</v>
      </c>
      <c r="E65" s="8">
        <f>IF(B65&lt;='Вхідні данні'!$C$16,C65+D65,0)</f>
        <v>0</v>
      </c>
      <c r="F65" s="7">
        <f>IF(B65&lt;='Вхідні данні'!$C$16,F64-C65:C66,0)</f>
        <v>0</v>
      </c>
    </row>
    <row r="66" spans="2:6" s="2" customFormat="1" x14ac:dyDescent="0.25">
      <c r="B66" s="6">
        <v>56</v>
      </c>
      <c r="C66" s="7">
        <f>IF(B66&lt;='Вхідні данні'!$C$16,-PPMT('Вхідні данні'!$C$26/12,B66,'Вхідні данні'!$C$16,'Вхідні данні'!$C$24,0),0)</f>
        <v>0</v>
      </c>
      <c r="D66" s="7">
        <f>IF(B66&lt;='Вхідні данні'!$C$16,F65*'Вхідні данні'!$C$26/12,0)</f>
        <v>0</v>
      </c>
      <c r="E66" s="8">
        <f>IF(B66&lt;='Вхідні данні'!$C$16,C66+D66,0)</f>
        <v>0</v>
      </c>
      <c r="F66" s="7">
        <f>IF(B66&lt;='Вхідні данні'!$C$16,F65-C66:C67,0)</f>
        <v>0</v>
      </c>
    </row>
    <row r="67" spans="2:6" s="2" customFormat="1" x14ac:dyDescent="0.25">
      <c r="B67" s="6">
        <v>57</v>
      </c>
      <c r="C67" s="7">
        <f>IF(B67&lt;='Вхідні данні'!$C$16,-PPMT('Вхідні данні'!$C$26/12,B67,'Вхідні данні'!$C$16,'Вхідні данні'!$C$24,0),0)</f>
        <v>0</v>
      </c>
      <c r="D67" s="7">
        <f>IF(B67&lt;='Вхідні данні'!$C$16,F66*'Вхідні данні'!$C$26/12,0)</f>
        <v>0</v>
      </c>
      <c r="E67" s="8">
        <f>IF(B67&lt;='Вхідні данні'!$C$16,C67+D67,0)</f>
        <v>0</v>
      </c>
      <c r="F67" s="7">
        <f>IF(B67&lt;='Вхідні данні'!$C$16,F66-C67:C68,0)</f>
        <v>0</v>
      </c>
    </row>
    <row r="68" spans="2:6" s="2" customFormat="1" x14ac:dyDescent="0.25">
      <c r="B68" s="6">
        <v>58</v>
      </c>
      <c r="C68" s="7">
        <f>IF(B68&lt;='Вхідні данні'!$C$16,-PPMT('Вхідні данні'!$C$26/12,B68,'Вхідні данні'!$C$16,'Вхідні данні'!$C$24,0),0)</f>
        <v>0</v>
      </c>
      <c r="D68" s="7">
        <f>IF(B68&lt;='Вхідні данні'!$C$16,F67*'Вхідні данні'!$C$26/12,0)</f>
        <v>0</v>
      </c>
      <c r="E68" s="8">
        <f>IF(B68&lt;='Вхідні данні'!$C$16,C68+D68,0)</f>
        <v>0</v>
      </c>
      <c r="F68" s="7">
        <f>IF(B68&lt;='Вхідні данні'!$C$16,F67-C68:C69,0)</f>
        <v>0</v>
      </c>
    </row>
    <row r="69" spans="2:6" s="2" customFormat="1" x14ac:dyDescent="0.25">
      <c r="B69" s="6">
        <v>59</v>
      </c>
      <c r="C69" s="7">
        <f>IF(B69&lt;='Вхідні данні'!$C$16,-PPMT('Вхідні данні'!$C$26/12,B69,'Вхідні данні'!$C$16,'Вхідні данні'!$C$24,0),0)</f>
        <v>0</v>
      </c>
      <c r="D69" s="7">
        <f>IF(B69&lt;='Вхідні данні'!$C$16,F68*'Вхідні данні'!$C$26/12,0)</f>
        <v>0</v>
      </c>
      <c r="E69" s="8">
        <f>IF(B69&lt;='Вхідні данні'!$C$16,C69+D69,0)</f>
        <v>0</v>
      </c>
      <c r="F69" s="7">
        <f>IF(B69&lt;='Вхідні данні'!$C$16,F68-C69:C70,0)</f>
        <v>0</v>
      </c>
    </row>
    <row r="70" spans="2:6" s="2" customFormat="1" x14ac:dyDescent="0.25">
      <c r="B70" s="6">
        <v>60</v>
      </c>
      <c r="C70" s="7">
        <f>IF(B70&lt;='Вхідні данні'!$C$16,-PPMT('Вхідні данні'!$C$26/12,B70,'Вхідні данні'!$C$16,'Вхідні данні'!$C$24,0),0)</f>
        <v>0</v>
      </c>
      <c r="D70" s="7">
        <f>IF(B70&lt;='Вхідні данні'!$C$16,F69*'Вхідні данні'!$C$26/12,0)</f>
        <v>0</v>
      </c>
      <c r="E70" s="8">
        <f>IF(B70&lt;='Вхідні данні'!$C$16,C70+D70,0)</f>
        <v>0</v>
      </c>
      <c r="F70" s="7">
        <f>IF(B70&lt;='Вхідні данні'!$C$16,F69-C70:C71,0)</f>
        <v>0</v>
      </c>
    </row>
    <row r="71" spans="2:6" s="2" customFormat="1" x14ac:dyDescent="0.25">
      <c r="B71" s="6">
        <v>61</v>
      </c>
      <c r="C71" s="7">
        <f>IF(B71&lt;='Вхідні данні'!$C$16,-PPMT('Вхідні данні'!$C$26/12,B71,'Вхідні данні'!$C$16,'Вхідні данні'!$C$24,0),0)</f>
        <v>0</v>
      </c>
      <c r="D71" s="7">
        <f>IF(B71&lt;='Вхідні данні'!$C$16,F70*'Вхідні данні'!$C$26/12,0)</f>
        <v>0</v>
      </c>
      <c r="E71" s="8">
        <f>IF(B71&lt;='Вхідні данні'!$C$16,C71+D71,0)</f>
        <v>0</v>
      </c>
      <c r="F71" s="7">
        <f>IF(B71&lt;='Вхідні данні'!$C$16,F70-C71:C72,0)</f>
        <v>0</v>
      </c>
    </row>
    <row r="72" spans="2:6" s="2" customFormat="1" x14ac:dyDescent="0.25">
      <c r="B72" s="6">
        <v>62</v>
      </c>
      <c r="C72" s="7">
        <f>IF(B72&lt;='Вхідні данні'!$C$16,-PPMT('Вхідні данні'!$C$26/12,B72,'Вхідні данні'!$C$16,'Вхідні данні'!$C$24,0),0)</f>
        <v>0</v>
      </c>
      <c r="D72" s="7">
        <f>IF(B72&lt;='Вхідні данні'!$C$16,F71*'Вхідні данні'!$C$26/12,0)</f>
        <v>0</v>
      </c>
      <c r="E72" s="8">
        <f>IF(B72&lt;='Вхідні данні'!$C$16,C72+D72,0)</f>
        <v>0</v>
      </c>
      <c r="F72" s="7">
        <f>IF(B72&lt;='Вхідні данні'!$C$16,F71-C72:C73,0)</f>
        <v>0</v>
      </c>
    </row>
    <row r="73" spans="2:6" s="2" customFormat="1" x14ac:dyDescent="0.25">
      <c r="B73" s="6">
        <v>63</v>
      </c>
      <c r="C73" s="7">
        <f>IF(B73&lt;='Вхідні данні'!$C$16,-PPMT('Вхідні данні'!$C$26/12,B73,'Вхідні данні'!$C$16,'Вхідні данні'!$C$24,0),0)</f>
        <v>0</v>
      </c>
      <c r="D73" s="7">
        <f>IF(B73&lt;='Вхідні данні'!$C$16,F72*'Вхідні данні'!$C$26/12,0)</f>
        <v>0</v>
      </c>
      <c r="E73" s="8">
        <f>IF(B73&lt;='Вхідні данні'!$C$16,C73+D73,0)</f>
        <v>0</v>
      </c>
      <c r="F73" s="7">
        <f>IF(B73&lt;='Вхідні данні'!$C$16,F72-C73:C74,0)</f>
        <v>0</v>
      </c>
    </row>
    <row r="74" spans="2:6" s="2" customFormat="1" x14ac:dyDescent="0.25">
      <c r="B74" s="6">
        <v>64</v>
      </c>
      <c r="C74" s="7">
        <f>IF(B74&lt;='Вхідні данні'!$C$16,-PPMT('Вхідні данні'!$C$26/12,B74,'Вхідні данні'!$C$16,'Вхідні данні'!$C$24,0),0)</f>
        <v>0</v>
      </c>
      <c r="D74" s="7">
        <f>IF(B74&lt;='Вхідні данні'!$C$16,F73*'Вхідні данні'!$C$26/12,0)</f>
        <v>0</v>
      </c>
      <c r="E74" s="8">
        <f>IF(B74&lt;='Вхідні данні'!$C$16,C74+D74,0)</f>
        <v>0</v>
      </c>
      <c r="F74" s="7">
        <f>IF(B74&lt;='Вхідні данні'!$C$16,F73-C74:C75,0)</f>
        <v>0</v>
      </c>
    </row>
    <row r="75" spans="2:6" s="2" customFormat="1" x14ac:dyDescent="0.25">
      <c r="B75" s="6">
        <v>65</v>
      </c>
      <c r="C75" s="7">
        <f>IF(B75&lt;='Вхідні данні'!$C$16,-PPMT('Вхідні данні'!$C$26/12,B75,'Вхідні данні'!$C$16,'Вхідні данні'!$C$24,0),0)</f>
        <v>0</v>
      </c>
      <c r="D75" s="7">
        <f>IF(B75&lt;='Вхідні данні'!$C$16,F74*'Вхідні данні'!$C$26/12,0)</f>
        <v>0</v>
      </c>
      <c r="E75" s="8">
        <f>IF(B75&lt;='Вхідні данні'!$C$16,C75+D75,0)</f>
        <v>0</v>
      </c>
      <c r="F75" s="7">
        <f>IF(B75&lt;='Вхідні данні'!$C$16,F74-C75:C76,0)</f>
        <v>0</v>
      </c>
    </row>
    <row r="76" spans="2:6" s="2" customFormat="1" x14ac:dyDescent="0.25">
      <c r="B76" s="6">
        <v>66</v>
      </c>
      <c r="C76" s="7">
        <f>IF(B76&lt;='Вхідні данні'!$C$16,-PPMT('Вхідні данні'!$C$26/12,B76,'Вхідні данні'!$C$16,'Вхідні данні'!$C$24,0),0)</f>
        <v>0</v>
      </c>
      <c r="D76" s="7">
        <f>IF(B76&lt;='Вхідні данні'!$C$16,F75*'Вхідні данні'!$C$26/12,0)</f>
        <v>0</v>
      </c>
      <c r="E76" s="8">
        <f>IF(B76&lt;='Вхідні данні'!$C$16,C76+D76,0)</f>
        <v>0</v>
      </c>
      <c r="F76" s="7">
        <f>IF(B76&lt;='Вхідні данні'!$C$16,F75-C76:C77,0)</f>
        <v>0</v>
      </c>
    </row>
    <row r="77" spans="2:6" s="2" customFormat="1" x14ac:dyDescent="0.25">
      <c r="B77" s="6">
        <v>67</v>
      </c>
      <c r="C77" s="7">
        <f>IF(B77&lt;='Вхідні данні'!$C$16,-PPMT('Вхідні данні'!$C$26/12,B77,'Вхідні данні'!$C$16,'Вхідні данні'!$C$24,0),0)</f>
        <v>0</v>
      </c>
      <c r="D77" s="7">
        <f>IF(B77&lt;='Вхідні данні'!$C$16,F76*'Вхідні данні'!$C$26/12,0)</f>
        <v>0</v>
      </c>
      <c r="E77" s="8">
        <f>IF(B77&lt;='Вхідні данні'!$C$16,C77+D77,0)</f>
        <v>0</v>
      </c>
      <c r="F77" s="7">
        <f>IF(B77&lt;='Вхідні данні'!$C$16,F76-C77:C78,0)</f>
        <v>0</v>
      </c>
    </row>
    <row r="78" spans="2:6" s="2" customFormat="1" x14ac:dyDescent="0.25">
      <c r="B78" s="6">
        <v>68</v>
      </c>
      <c r="C78" s="7">
        <f>IF(B78&lt;='Вхідні данні'!$C$16,-PPMT('Вхідні данні'!$C$26/12,B78,'Вхідні данні'!$C$16,'Вхідні данні'!$C$24,0),0)</f>
        <v>0</v>
      </c>
      <c r="D78" s="7">
        <f>IF(B78&lt;='Вхідні данні'!$C$16,F77*'Вхідні данні'!$C$26/12,0)</f>
        <v>0</v>
      </c>
      <c r="E78" s="8">
        <f>IF(B78&lt;='Вхідні данні'!$C$16,C78+D78,0)</f>
        <v>0</v>
      </c>
      <c r="F78" s="7">
        <f>IF(B78&lt;='Вхідні данні'!$C$16,F77-C78:C79,0)</f>
        <v>0</v>
      </c>
    </row>
    <row r="79" spans="2:6" s="2" customFormat="1" x14ac:dyDescent="0.25">
      <c r="B79" s="6">
        <v>69</v>
      </c>
      <c r="C79" s="7">
        <f>IF(B79&lt;='Вхідні данні'!$C$16,-PPMT('Вхідні данні'!$C$26/12,B79,'Вхідні данні'!$C$16,'Вхідні данні'!$C$24,0),0)</f>
        <v>0</v>
      </c>
      <c r="D79" s="7">
        <f>IF(B79&lt;='Вхідні данні'!$C$16,F78*'Вхідні данні'!$C$26/12,0)</f>
        <v>0</v>
      </c>
      <c r="E79" s="8">
        <f>IF(B79&lt;='Вхідні данні'!$C$16,C79+D79,0)</f>
        <v>0</v>
      </c>
      <c r="F79" s="7">
        <f>IF(B79&lt;='Вхідні данні'!$C$16,F78-C79:C80,0)</f>
        <v>0</v>
      </c>
    </row>
    <row r="80" spans="2:6" s="2" customFormat="1" x14ac:dyDescent="0.25">
      <c r="B80" s="6">
        <v>70</v>
      </c>
      <c r="C80" s="7">
        <f>IF(B80&lt;='Вхідні данні'!$C$16,-PPMT('Вхідні данні'!$C$26/12,B80,'Вхідні данні'!$C$16,'Вхідні данні'!$C$24,0),0)</f>
        <v>0</v>
      </c>
      <c r="D80" s="7">
        <f>IF(B80&lt;='Вхідні данні'!$C$16,F79*'Вхідні данні'!$C$26/12,0)</f>
        <v>0</v>
      </c>
      <c r="E80" s="8">
        <f>IF(B80&lt;='Вхідні данні'!$C$16,C80+D80,0)</f>
        <v>0</v>
      </c>
      <c r="F80" s="7">
        <f>IF(B80&lt;='Вхідні данні'!$C$16,F79-C80:C81,0)</f>
        <v>0</v>
      </c>
    </row>
    <row r="81" spans="2:8" x14ac:dyDescent="0.25">
      <c r="B81" s="6">
        <v>71</v>
      </c>
      <c r="C81" s="7">
        <f>IF(B81&lt;='Вхідні данні'!$C$16,-PPMT('Вхідні данні'!$C$26/12,B81,'Вхідні данні'!$C$16,'Вхідні данні'!$C$24,0),0)</f>
        <v>0</v>
      </c>
      <c r="D81" s="7">
        <f>IF(B81&lt;='Вхідні данні'!$C$16,F80*'Вхідні данні'!$C$26/12,0)</f>
        <v>0</v>
      </c>
      <c r="E81" s="8">
        <f>IF(B81&lt;='Вхідні данні'!$C$16,C81+D81,0)</f>
        <v>0</v>
      </c>
      <c r="F81" s="7">
        <f>IF(B81&lt;='Вхідні данні'!$C$16,F80-C81:C82,0)</f>
        <v>0</v>
      </c>
      <c r="G81" s="2"/>
      <c r="H81" s="2"/>
    </row>
    <row r="82" spans="2:8" x14ac:dyDescent="0.25">
      <c r="B82" s="6">
        <v>72</v>
      </c>
      <c r="C82" s="7">
        <f>IF(B82&lt;='Вхідні данні'!$C$16,-PPMT('Вхідні данні'!$C$26/12,B82,'Вхідні данні'!$C$16,'Вхідні данні'!$C$24,0),0)</f>
        <v>0</v>
      </c>
      <c r="D82" s="7">
        <f>IF(B82&lt;='Вхідні данні'!$C$16,F81*'Вхідні данні'!$C$26/12,0)</f>
        <v>0</v>
      </c>
      <c r="E82" s="8">
        <f>IF(B82&lt;='Вхідні данні'!$C$16,C82+D82,0)</f>
        <v>0</v>
      </c>
      <c r="F82" s="7">
        <f>IF(B82&lt;='Вхідні данні'!$C$16,F81-C82:C83,0)</f>
        <v>0</v>
      </c>
      <c r="G82" s="2"/>
      <c r="H82" s="2"/>
    </row>
    <row r="83" spans="2:8" x14ac:dyDescent="0.25">
      <c r="B83" s="6">
        <v>73</v>
      </c>
      <c r="C83" s="7">
        <f>IF(B83&lt;='Вхідні данні'!$C$16,-PPMT('Вхідні данні'!$C$26/12,B83,'Вхідні данні'!$C$16,'Вхідні данні'!$C$24,0),0)</f>
        <v>0</v>
      </c>
      <c r="D83" s="7">
        <f>IF(B83&lt;='Вхідні данні'!$C$16,F82*'Вхідні данні'!$C$26/12,0)</f>
        <v>0</v>
      </c>
      <c r="E83" s="8">
        <f>IF(B83&lt;='Вхідні данні'!$C$16,C83+D83,0)</f>
        <v>0</v>
      </c>
      <c r="F83" s="7">
        <f>IF(B83&lt;='Вхідні данні'!$C$16,F82-C83:C84,0)</f>
        <v>0</v>
      </c>
      <c r="G83" s="2"/>
      <c r="H83" s="2"/>
    </row>
    <row r="84" spans="2:8" x14ac:dyDescent="0.25">
      <c r="B84" s="6">
        <v>74</v>
      </c>
      <c r="C84" s="7">
        <f>IF(B84&lt;='Вхідні данні'!$C$16,-PPMT('Вхідні данні'!$C$26/12,B84,'Вхідні данні'!$C$16,'Вхідні данні'!$C$24,0),0)</f>
        <v>0</v>
      </c>
      <c r="D84" s="7">
        <f>IF(B84&lt;='Вхідні данні'!$C$16,F83*'Вхідні данні'!$C$26/12,0)</f>
        <v>0</v>
      </c>
      <c r="E84" s="8">
        <f>IF(B84&lt;='Вхідні данні'!$C$16,C84+D84,0)</f>
        <v>0</v>
      </c>
      <c r="F84" s="7">
        <f>IF(B84&lt;='Вхідні данні'!$C$16,F83-C84:C85,0)</f>
        <v>0</v>
      </c>
      <c r="G84" s="2"/>
      <c r="H84" s="2"/>
    </row>
    <row r="85" spans="2:8" x14ac:dyDescent="0.25">
      <c r="B85" s="6">
        <v>75</v>
      </c>
      <c r="C85" s="7">
        <f>IF(B85&lt;='Вхідні данні'!$C$16,-PPMT('Вхідні данні'!$C$26/12,B85,'Вхідні данні'!$C$16,'Вхідні данні'!$C$24,0),0)</f>
        <v>0</v>
      </c>
      <c r="D85" s="7">
        <f>IF(B85&lt;='Вхідні данні'!$C$16,F84*'Вхідні данні'!$C$26/12,0)</f>
        <v>0</v>
      </c>
      <c r="E85" s="8">
        <f>IF(B85&lt;='Вхідні данні'!$C$16,C85+D85,0)</f>
        <v>0</v>
      </c>
      <c r="F85" s="7">
        <f>IF(B85&lt;='Вхідні данні'!$C$16,F84-C85:C86,0)</f>
        <v>0</v>
      </c>
      <c r="G85" s="2"/>
      <c r="H85" s="2"/>
    </row>
    <row r="86" spans="2:8" x14ac:dyDescent="0.25">
      <c r="B86" s="6">
        <v>76</v>
      </c>
      <c r="C86" s="7">
        <f>IF(B86&lt;='Вхідні данні'!$C$16,-PPMT('Вхідні данні'!$C$26/12,B86,'Вхідні данні'!$C$16,'Вхідні данні'!$C$24,0),0)</f>
        <v>0</v>
      </c>
      <c r="D86" s="7">
        <f>IF(B86&lt;='Вхідні данні'!$C$16,F85*'Вхідні данні'!$C$26/12,0)</f>
        <v>0</v>
      </c>
      <c r="E86" s="8">
        <f>IF(B86&lt;='Вхідні данні'!$C$16,C86+D86,0)</f>
        <v>0</v>
      </c>
      <c r="F86" s="7">
        <f>IF(B86&lt;='Вхідні данні'!$C$16,F85-C86:C87,0)</f>
        <v>0</v>
      </c>
      <c r="G86" s="2"/>
      <c r="H86" s="2"/>
    </row>
    <row r="87" spans="2:8" x14ac:dyDescent="0.25">
      <c r="B87" s="6">
        <v>77</v>
      </c>
      <c r="C87" s="7">
        <f>IF(B87&lt;='Вхідні данні'!$C$16,-PPMT('Вхідні данні'!$C$26/12,B87,'Вхідні данні'!$C$16,'Вхідні данні'!$C$24,0),0)</f>
        <v>0</v>
      </c>
      <c r="D87" s="7">
        <f>IF(B87&lt;='Вхідні данні'!$C$16,F86*'Вхідні данні'!$C$26/12,0)</f>
        <v>0</v>
      </c>
      <c r="E87" s="8">
        <f>IF(B87&lt;='Вхідні данні'!$C$16,C87+D87,0)</f>
        <v>0</v>
      </c>
      <c r="F87" s="7">
        <f>IF(B87&lt;='Вхідні данні'!$C$16,F86-C87:C88,0)</f>
        <v>0</v>
      </c>
      <c r="G87" s="2"/>
      <c r="H87" s="2"/>
    </row>
    <row r="88" spans="2:8" x14ac:dyDescent="0.25">
      <c r="B88" s="6">
        <v>78</v>
      </c>
      <c r="C88" s="7">
        <f>IF(B88&lt;='Вхідні данні'!$C$16,-PPMT('Вхідні данні'!$C$26/12,B88,'Вхідні данні'!$C$16,'Вхідні данні'!$C$24,0),0)</f>
        <v>0</v>
      </c>
      <c r="D88" s="7">
        <f>IF(B88&lt;='Вхідні данні'!$C$16,F87*'Вхідні данні'!$C$26/12,0)</f>
        <v>0</v>
      </c>
      <c r="E88" s="8">
        <f>IF(B88&lt;='Вхідні данні'!$C$16,C88+D88,0)</f>
        <v>0</v>
      </c>
      <c r="F88" s="7">
        <f>IF(B88&lt;='Вхідні данні'!$C$16,F87-C88:C89,0)</f>
        <v>0</v>
      </c>
      <c r="G88" s="2"/>
      <c r="H88" s="2"/>
    </row>
    <row r="89" spans="2:8" x14ac:dyDescent="0.25">
      <c r="B89" s="6">
        <v>79</v>
      </c>
      <c r="C89" s="7">
        <f>IF(B89&lt;='Вхідні данні'!$C$16,-PPMT('Вхідні данні'!$C$26/12,B89,'Вхідні данні'!$C$16,'Вхідні данні'!$C$24,0),0)</f>
        <v>0</v>
      </c>
      <c r="D89" s="7">
        <f>IF(B89&lt;='Вхідні данні'!$C$16,F88*'Вхідні данні'!$C$26/12,0)</f>
        <v>0</v>
      </c>
      <c r="E89" s="8">
        <f>IF(B89&lt;='Вхідні данні'!$C$16,C89+D89,0)</f>
        <v>0</v>
      </c>
      <c r="F89" s="7">
        <f>IF(B89&lt;='Вхідні данні'!$C$16,F88-C89:C90,0)</f>
        <v>0</v>
      </c>
      <c r="G89" s="2"/>
      <c r="H89" s="2"/>
    </row>
    <row r="90" spans="2:8" x14ac:dyDescent="0.25">
      <c r="B90" s="6">
        <v>80</v>
      </c>
      <c r="C90" s="7">
        <f>IF(B90&lt;='Вхідні данні'!$C$16,-PPMT('Вхідні данні'!$C$26/12,B90,'Вхідні данні'!$C$16,'Вхідні данні'!$C$24,0),0)</f>
        <v>0</v>
      </c>
      <c r="D90" s="7">
        <f>IF(B90&lt;='Вхідні данні'!$C$16,F89*'Вхідні данні'!$C$26/12,0)</f>
        <v>0</v>
      </c>
      <c r="E90" s="8">
        <f>IF(B90&lt;='Вхідні данні'!$C$16,C90+D90,0)</f>
        <v>0</v>
      </c>
      <c r="F90" s="7">
        <f>IF(B90&lt;='Вхідні данні'!$C$16,F89-C90:C91,0)</f>
        <v>0</v>
      </c>
      <c r="G90" s="2"/>
      <c r="H90" s="2"/>
    </row>
    <row r="91" spans="2:8" x14ac:dyDescent="0.25">
      <c r="B91" s="6">
        <v>81</v>
      </c>
      <c r="C91" s="7">
        <f>IF(B91&lt;='Вхідні данні'!$C$16,-PPMT('Вхідні данні'!$C$26/12,B91,'Вхідні данні'!$C$16,'Вхідні данні'!$C$24,0),0)</f>
        <v>0</v>
      </c>
      <c r="D91" s="7">
        <f>IF(B91&lt;='Вхідні данні'!$C$16,F90*'Вхідні данні'!$C$26/12,0)</f>
        <v>0</v>
      </c>
      <c r="E91" s="8">
        <f>IF(B91&lt;='Вхідні данні'!$C$16,C91+D91,0)</f>
        <v>0</v>
      </c>
      <c r="F91" s="7">
        <f>IF(B91&lt;='Вхідні данні'!$C$16,F90-C91:C92,0)</f>
        <v>0</v>
      </c>
      <c r="G91" s="2"/>
      <c r="H91" s="2"/>
    </row>
    <row r="92" spans="2:8" x14ac:dyDescent="0.25">
      <c r="B92" s="6">
        <v>82</v>
      </c>
      <c r="C92" s="7">
        <f>IF(B92&lt;='Вхідні данні'!$C$16,-PPMT('Вхідні данні'!$C$26/12,B92,'Вхідні данні'!$C$16,'Вхідні данні'!$C$24,0),0)</f>
        <v>0</v>
      </c>
      <c r="D92" s="7">
        <f>IF(B92&lt;='Вхідні данні'!$C$16,F91*'Вхідні данні'!$C$26/12,0)</f>
        <v>0</v>
      </c>
      <c r="E92" s="8">
        <f>IF(B92&lt;='Вхідні данні'!$C$16,C92+D92,0)</f>
        <v>0</v>
      </c>
      <c r="F92" s="7">
        <f>IF(B92&lt;='Вхідні данні'!$C$16,F91-C92:C93,0)</f>
        <v>0</v>
      </c>
      <c r="G92" s="2"/>
      <c r="H92" s="2"/>
    </row>
    <row r="93" spans="2:8" x14ac:dyDescent="0.25">
      <c r="B93" s="6">
        <v>83</v>
      </c>
      <c r="C93" s="7">
        <f>IF(B93&lt;='Вхідні данні'!$C$16,-PPMT('Вхідні данні'!$C$26/12,B93,'Вхідні данні'!$C$16,'Вхідні данні'!$C$24,0),0)</f>
        <v>0</v>
      </c>
      <c r="D93" s="7">
        <f>IF(B93&lt;='Вхідні данні'!$C$16,F92*'Вхідні данні'!$C$26/12,0)</f>
        <v>0</v>
      </c>
      <c r="E93" s="8">
        <f>IF(B93&lt;='Вхідні данні'!$C$16,C93+D93,0)</f>
        <v>0</v>
      </c>
      <c r="F93" s="7">
        <f>IF(B93&lt;='Вхідні данні'!$C$16,F92-C93:C94,0)</f>
        <v>0</v>
      </c>
      <c r="G93" s="2"/>
      <c r="H93" s="2"/>
    </row>
    <row r="94" spans="2:8" x14ac:dyDescent="0.25">
      <c r="B94" s="6">
        <v>84</v>
      </c>
      <c r="C94" s="7">
        <f>IF(B94&lt;='Вхідні данні'!$C$16,-PPMT('Вхідні данні'!$C$26/12,B94,'Вхідні данні'!$C$16,'Вхідні данні'!$C$24,0),0)</f>
        <v>0</v>
      </c>
      <c r="D94" s="7">
        <f>IF(B94&lt;='Вхідні данні'!$C$16,F93*'Вхідні данні'!$C$26/12,0)</f>
        <v>0</v>
      </c>
      <c r="E94" s="8">
        <f>IF(B94&lt;='Вхідні данні'!$C$16,C94+D94,0)</f>
        <v>0</v>
      </c>
      <c r="F94" s="7">
        <f>IF(B94&lt;='Вхідні данні'!$C$16,F93-C94:C95,0)</f>
        <v>0</v>
      </c>
      <c r="G94" s="2"/>
      <c r="H94" s="2"/>
    </row>
    <row r="95" spans="2:8" x14ac:dyDescent="0.25">
      <c r="B95" s="9" t="s">
        <v>13</v>
      </c>
      <c r="C95" s="10">
        <f>SUM(C11:C94)</f>
        <v>514998.505</v>
      </c>
      <c r="D95" s="11">
        <f>SUM(D11:D94)</f>
        <v>40577.077890981178</v>
      </c>
      <c r="G95" s="2"/>
      <c r="H95" s="2"/>
    </row>
    <row r="96" spans="2:8" x14ac:dyDescent="0.25"/>
  </sheetData>
  <sheetProtection algorithmName="SHA-512" hashValue="T8OlySen5qxpIRsndGFKt54jMcYodWGW8czQCZp7TyCiq0Ws0IETxiY6abQ234KrG//8rUmhSz/A174JXIWiFw==" saltValue="fGb2zntU92CdE767bwyeAQ==" spinCount="100000" sheet="1" objects="1" scenarios="1"/>
  <mergeCells count="1">
    <mergeCell ref="B7:E8"/>
  </mergeCells>
  <conditionalFormatting sqref="C11:F94">
    <cfRule type="cellIs" dxfId="1" priority="1" operator="equal">
      <formula>0</formula>
    </cfRule>
  </conditionalFormatting>
  <pageMargins left="0.7" right="0.7" top="0.75" bottom="0.75" header="0.3" footer="0.3"/>
  <pageSetup paperSize="9" scale="73" orientation="portrait" r:id="rId1"/>
  <rowBreaks count="1" manualBreakCount="1">
    <brk id="58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showGridLines="0" showWhiteSpace="0" zoomScale="85" zoomScaleNormal="85" workbookViewId="0">
      <selection activeCell="C11" sqref="C11"/>
    </sheetView>
  </sheetViews>
  <sheetFormatPr defaultColWidth="0" defaultRowHeight="15" zeroHeight="1" x14ac:dyDescent="0.25"/>
  <cols>
    <col min="1" max="1" width="9.140625" style="2" customWidth="1"/>
    <col min="2" max="2" width="11.5703125" style="2" customWidth="1"/>
    <col min="3" max="3" width="22.5703125" style="3" customWidth="1"/>
    <col min="4" max="4" width="23.5703125" style="2" customWidth="1"/>
    <col min="5" max="5" width="18" style="2" customWidth="1"/>
    <col min="6" max="6" width="25.140625" style="2" customWidth="1"/>
    <col min="7" max="7" width="9.140625" style="2" customWidth="1"/>
    <col min="8" max="16384" width="9.140625" style="2" hidden="1"/>
  </cols>
  <sheetData>
    <row r="1" spans="2:6" x14ac:dyDescent="0.25"/>
    <row r="2" spans="2:6" x14ac:dyDescent="0.25"/>
    <row r="3" spans="2:6" x14ac:dyDescent="0.25"/>
    <row r="4" spans="2:6" x14ac:dyDescent="0.25"/>
    <row r="5" spans="2:6" x14ac:dyDescent="0.25"/>
    <row r="6" spans="2:6" x14ac:dyDescent="0.25"/>
    <row r="7" spans="2:6" ht="14.45" customHeight="1" x14ac:dyDescent="0.25">
      <c r="B7" s="70" t="s">
        <v>62</v>
      </c>
      <c r="C7" s="70"/>
      <c r="D7" s="70"/>
      <c r="E7" s="70"/>
      <c r="F7" s="53" t="s">
        <v>1</v>
      </c>
    </row>
    <row r="8" spans="2:6" ht="18.75" customHeight="1" x14ac:dyDescent="0.25">
      <c r="B8" s="70"/>
      <c r="C8" s="70"/>
      <c r="D8" s="70"/>
      <c r="E8" s="70"/>
      <c r="F8" s="54">
        <f>'Вхідні данні'!C28</f>
        <v>9.9900000000000003E-2</v>
      </c>
    </row>
    <row r="9" spans="2:6" x14ac:dyDescent="0.25"/>
    <row r="10" spans="2:6" ht="58.9" customHeight="1" x14ac:dyDescent="0.25">
      <c r="B10" s="4" t="s">
        <v>10</v>
      </c>
      <c r="C10" s="5" t="s">
        <v>11</v>
      </c>
      <c r="D10" s="4" t="s">
        <v>12</v>
      </c>
      <c r="E10" s="4" t="s">
        <v>13</v>
      </c>
      <c r="F10" s="4" t="s">
        <v>14</v>
      </c>
    </row>
    <row r="11" spans="2:6" x14ac:dyDescent="0.25">
      <c r="B11" s="6">
        <v>1</v>
      </c>
      <c r="C11" s="7">
        <f>IF(F$8&gt;0%,IF(B11&lt;='Вхідні данні'!$E$16,IF(B11&lt;'Вхідні данні'!$E$16,-PPMT('Вхідні данні'!$C$28/12,B11,'Вхідні данні'!$E$16-1,'Вхідні данні'!$C$22-'Вхідні данні'!$C$14*'Вхідні данні'!$C$29,0),IF(B11='Вхідні данні'!$E$16,'Вхідні данні'!$C$14*'Вхідні данні'!$C$29,0)),0),0)</f>
        <v>5070.5861480974609</v>
      </c>
      <c r="D11" s="7">
        <f>'Вхідні данні'!$C$22*'Вхідні данні'!$C$28/12</f>
        <v>4204.5288041249996</v>
      </c>
      <c r="E11" s="8">
        <f>IF(B11&lt;='Вхідні данні'!$E$16,C11+D11,0)</f>
        <v>9275.1149522224605</v>
      </c>
      <c r="F11" s="7">
        <f>'Вхідні данні'!$C$22-C11:C12</f>
        <v>499977.91885190253</v>
      </c>
    </row>
    <row r="12" spans="2:6" x14ac:dyDescent="0.25">
      <c r="B12" s="6">
        <v>2</v>
      </c>
      <c r="C12" s="7">
        <f>IF(F$8&gt;0%,IF(B12&lt;='Вхідні данні'!$E$16,IF(B12&lt;'Вхідні данні'!$E$16,-PPMT('Вхідні данні'!$C$28/12,B12,'Вхідні данні'!$E$16-1,'Вхідні данні'!$C$22-'Вхідні данні'!$C$14*'Вхідні данні'!$C$29,0),IF(B12='Вхідні данні'!$E$16,'Вхідні данні'!$C$14*'Вхідні данні'!$C$29,0)),0),0)</f>
        <v>5112.7987777803719</v>
      </c>
      <c r="D12" s="7">
        <f>IF(B12&lt;='Вхідні данні'!$E$16,F11*'Вхідні данні'!$C$28/12,0)</f>
        <v>4162.3161744420886</v>
      </c>
      <c r="E12" s="8">
        <f>IF(B12&lt;='Вхідні данні'!$E$16,C12+D12,0)</f>
        <v>9275.1149522224605</v>
      </c>
      <c r="F12" s="7">
        <f>IF(B12&lt;='Вхідні данні'!$E$16,F11-C12:C13,0)</f>
        <v>494865.12007412215</v>
      </c>
    </row>
    <row r="13" spans="2:6" x14ac:dyDescent="0.25">
      <c r="B13" s="6">
        <v>3</v>
      </c>
      <c r="C13" s="7">
        <f>IF(F$8&gt;0%,IF(B13&lt;='Вхідні данні'!$E$16,IF(B13&lt;'Вхідні данні'!$E$16,-PPMT('Вхідні данні'!$C$28/12,B13,'Вхідні данні'!$E$16-1,'Вхідні данні'!$C$22-'Вхідні данні'!$C$14*'Вхідні данні'!$C$29,0),IF(B13='Вхідні данні'!$E$16,'Вхідні данні'!$C$14*'Вхідні данні'!$C$29,0)),0),0)</f>
        <v>5155.3628276053942</v>
      </c>
      <c r="D13" s="7">
        <f>IF(B13&lt;='Вхідні данні'!$E$16,F12*'Вхідні данні'!$C$28/12,0)</f>
        <v>4119.7521246170672</v>
      </c>
      <c r="E13" s="8">
        <f>IF(B13&lt;='Вхідні данні'!$E$16,C13+D13,0)</f>
        <v>9275.1149522224623</v>
      </c>
      <c r="F13" s="7">
        <f>IF(B13&lt;='Вхідні данні'!$E$16,F12-C13:C14,0)</f>
        <v>489709.75724651676</v>
      </c>
    </row>
    <row r="14" spans="2:6" x14ac:dyDescent="0.25">
      <c r="B14" s="6">
        <v>4</v>
      </c>
      <c r="C14" s="7">
        <f>IF(F$8&gt;0%,IF(B14&lt;='Вхідні данні'!$E$16,IF(B14&lt;'Вхідні данні'!$E$16,-PPMT('Вхідні данні'!$C$28/12,B14,'Вхідні данні'!$E$16-1,'Вхідні данні'!$C$22-'Вхідні данні'!$C$14*'Вхідні данні'!$C$29,0),IF(B14='Вхідні данні'!$E$16,'Вхідні данні'!$C$14*'Вхідні данні'!$C$29,0)),0),0)</f>
        <v>5198.281223145209</v>
      </c>
      <c r="D14" s="7">
        <f>IF(B14&lt;='Вхідні данні'!$E$16,F13*'Вхідні данні'!$C$28/12,0)</f>
        <v>4076.8337290772524</v>
      </c>
      <c r="E14" s="8">
        <f>IF(B14&lt;='Вхідні данні'!$E$16,C14+D14,0)</f>
        <v>9275.1149522224623</v>
      </c>
      <c r="F14" s="7">
        <f>IF(B14&lt;='Вхідні данні'!$E$16,F13-C14:C15,0)</f>
        <v>484511.47602337156</v>
      </c>
    </row>
    <row r="15" spans="2:6" x14ac:dyDescent="0.25">
      <c r="B15" s="6">
        <v>5</v>
      </c>
      <c r="C15" s="7">
        <f>IF(F$8&gt;0%,IF(B15&lt;='Вхідні данні'!$E$16,IF(B15&lt;'Вхідні данні'!$E$16,-PPMT('Вхідні данні'!$C$28/12,B15,'Вхідні данні'!$E$16-1,'Вхідні данні'!$C$22-'Вхідні данні'!$C$14*'Вхідні данні'!$C$29,0),IF(B15='Вхідні данні'!$E$16,'Вхідні данні'!$C$14*'Вхідні данні'!$C$29,0)),0),0)</f>
        <v>5241.5569143278917</v>
      </c>
      <c r="D15" s="7">
        <f>IF(B15&lt;='Вхідні данні'!$E$16,F14*'Вхідні данні'!$C$28/12,0)</f>
        <v>4033.5580378945683</v>
      </c>
      <c r="E15" s="8">
        <f>IF(B15&lt;='Вхідні данні'!$E$16,C15+D15,0)</f>
        <v>9275.1149522224605</v>
      </c>
      <c r="F15" s="7">
        <f>IF(B15&lt;='Вхідні данні'!$E$16,F14-C15:C16,0)</f>
        <v>479269.91910904367</v>
      </c>
    </row>
    <row r="16" spans="2:6" x14ac:dyDescent="0.25">
      <c r="B16" s="6">
        <v>6</v>
      </c>
      <c r="C16" s="7">
        <f>IF(F$8&gt;0%,IF(B16&lt;='Вхідні данні'!$E$16,IF(B16&lt;'Вхідні данні'!$E$16,-PPMT('Вхідні данні'!$C$28/12,B16,'Вхідні данні'!$E$16-1,'Вхідні данні'!$C$22-'Вхідні данні'!$C$14*'Вхідні данні'!$C$29,0),IF(B16='Вхідні данні'!$E$16,'Вхідні данні'!$C$14*'Вхідні данні'!$C$29,0)),0),0)</f>
        <v>5285.1928756396719</v>
      </c>
      <c r="D16" s="7">
        <f>IF(B16&lt;='Вхідні данні'!$E$16,F15*'Вхідні данні'!$C$28/12,0)</f>
        <v>3989.9220765827886</v>
      </c>
      <c r="E16" s="8">
        <f>IF(B16&lt;='Вхідні данні'!$E$16,C16+D16,0)</f>
        <v>9275.1149522224605</v>
      </c>
      <c r="F16" s="7">
        <f>IF(B16&lt;='Вхідні данні'!$E$16,F15-C16:C17,0)</f>
        <v>473984.72623340401</v>
      </c>
    </row>
    <row r="17" spans="2:6" x14ac:dyDescent="0.25">
      <c r="B17" s="6">
        <v>7</v>
      </c>
      <c r="C17" s="7">
        <f>IF(F$8&gt;0%,IF(B17&lt;='Вхідні данні'!$E$16,IF(B17&lt;'Вхідні данні'!$E$16,-PPMT('Вхідні данні'!$C$28/12,B17,'Вхідні данні'!$E$16-1,'Вхідні данні'!$C$22-'Вхідні данні'!$C$14*'Вхідні данні'!$C$29,0),IF(B17='Вхідні данні'!$E$16,'Вхідні данні'!$C$14*'Вхідні данні'!$C$29,0)),0),0)</f>
        <v>5329.1921063293721</v>
      </c>
      <c r="D17" s="7">
        <f>IF(B17&lt;='Вхідні данні'!$E$16,F16*'Вхідні данні'!$C$28/12,0)</f>
        <v>3945.9228458930884</v>
      </c>
      <c r="E17" s="8">
        <f>IF(B17&lt;='Вхідні данні'!$E$16,C17+D17,0)</f>
        <v>9275.1149522224605</v>
      </c>
      <c r="F17" s="7">
        <f>IF(B17&lt;='Вхідні данні'!$E$16,F16-C17:C18,0)</f>
        <v>468655.53412707464</v>
      </c>
    </row>
    <row r="18" spans="2:6" x14ac:dyDescent="0.25">
      <c r="B18" s="6">
        <v>8</v>
      </c>
      <c r="C18" s="7">
        <f>IF(F$8&gt;0%,IF(B18&lt;='Вхідні данні'!$E$16,IF(B18&lt;'Вхідні данні'!$E$16,-PPMT('Вхідні данні'!$C$28/12,B18,'Вхідні данні'!$E$16-1,'Вхідні данні'!$C$22-'Вхідні данні'!$C$14*'Вхідні данні'!$C$29,0),IF(B18='Вхідні данні'!$E$16,'Вхідні данні'!$C$14*'Вхідні данні'!$C$29,0)),0),0)</f>
        <v>5373.557630614564</v>
      </c>
      <c r="D18" s="7">
        <f>IF(B18&lt;='Вхідні данні'!$E$16,F17*'Вхідні данні'!$C$28/12,0)</f>
        <v>3901.5573216078969</v>
      </c>
      <c r="E18" s="8">
        <f>IF(B18&lt;='Вхідні данні'!$E$16,C18+D18,0)</f>
        <v>9275.1149522224605</v>
      </c>
      <c r="F18" s="7">
        <f>IF(B18&lt;='Вхідні данні'!$E$16,F17-C18:C19,0)</f>
        <v>463281.97649646009</v>
      </c>
    </row>
    <row r="19" spans="2:6" x14ac:dyDescent="0.25">
      <c r="B19" s="6">
        <v>9</v>
      </c>
      <c r="C19" s="7">
        <f>IF(F$8&gt;0%,IF(B19&lt;='Вхідні данні'!$E$16,IF(B19&lt;'Вхідні данні'!$E$16,-PPMT('Вхідні данні'!$C$28/12,B19,'Вхідні данні'!$E$16-1,'Вхідні данні'!$C$22-'Вхідні данні'!$C$14*'Вхідні данні'!$C$29,0),IF(B19='Вхідні данні'!$E$16,'Вхідні данні'!$C$14*'Вхідні данні'!$C$29,0)),0),0)</f>
        <v>5418.2924978894298</v>
      </c>
      <c r="D19" s="7">
        <f>IF(B19&lt;='Вхідні данні'!$E$16,F18*'Вхідні данні'!$C$28/12,0)</f>
        <v>3856.8224543330302</v>
      </c>
      <c r="E19" s="8">
        <f>IF(B19&lt;='Вхідні данні'!$E$16,C19+D19,0)</f>
        <v>9275.1149522224605</v>
      </c>
      <c r="F19" s="7">
        <f>IF(B19&lt;='Вхідні данні'!$E$16,F18-C19:C20,0)</f>
        <v>457863.68399857066</v>
      </c>
    </row>
    <row r="20" spans="2:6" x14ac:dyDescent="0.25">
      <c r="B20" s="6">
        <v>10</v>
      </c>
      <c r="C20" s="7">
        <f>IF(F$8&gt;0%,IF(B20&lt;='Вхідні данні'!$E$16,IF(B20&lt;'Вхідні данні'!$E$16,-PPMT('Вхідні данні'!$C$28/12,B20,'Вхідні данні'!$E$16-1,'Вхідні данні'!$C$22-'Вхідні данні'!$C$14*'Вхідні данні'!$C$29,0),IF(B20='Вхідні данні'!$E$16,'Вхідні данні'!$C$14*'Вхідні данні'!$C$29,0)),0),0)</f>
        <v>5463.3997829343598</v>
      </c>
      <c r="D20" s="7">
        <f>IF(B20&lt;='Вхідні данні'!$E$16,F19*'Вхідні данні'!$C$28/12,0)</f>
        <v>3811.7151692881012</v>
      </c>
      <c r="E20" s="8">
        <f>IF(B20&lt;='Вхідні данні'!$E$16,C20+D20,0)</f>
        <v>9275.1149522224605</v>
      </c>
      <c r="F20" s="7">
        <f>IF(B20&lt;='Вхідні данні'!$E$16,F19-C20:C21,0)</f>
        <v>452400.28421563632</v>
      </c>
    </row>
    <row r="21" spans="2:6" x14ac:dyDescent="0.25">
      <c r="B21" s="6">
        <v>11</v>
      </c>
      <c r="C21" s="7">
        <f>IF(F$8&gt;0%,IF(B21&lt;='Вхідні данні'!$E$16,IF(B21&lt;'Вхідні данні'!$E$16,-PPMT('Вхідні данні'!$C$28/12,B21,'Вхідні данні'!$E$16-1,'Вхідні данні'!$C$22-'Вхідні данні'!$C$14*'Вхідні данні'!$C$29,0),IF(B21='Вхідні данні'!$E$16,'Вхідні данні'!$C$14*'Вхідні данні'!$C$29,0)),0),0)</f>
        <v>5508.8825861272881</v>
      </c>
      <c r="D21" s="7">
        <f>IF(B21&lt;='Вхідні данні'!$E$16,F20*'Вхідні данні'!$C$28/12,0)</f>
        <v>3766.2323660951729</v>
      </c>
      <c r="E21" s="8">
        <f>IF(B21&lt;='Вхідні данні'!$E$16,C21+D21,0)</f>
        <v>9275.1149522224605</v>
      </c>
      <c r="F21" s="7">
        <f>IF(B21&lt;='Вхідні данні'!$E$16,F20-C21:C22,0)</f>
        <v>446891.40162950906</v>
      </c>
    </row>
    <row r="22" spans="2:6" x14ac:dyDescent="0.25">
      <c r="B22" s="6">
        <v>12</v>
      </c>
      <c r="C22" s="7">
        <f>IF(F$8&gt;0%,IF(B22&lt;='Вхідні данні'!$E$16,IF(B22&lt;'Вхідні данні'!$E$16,-PPMT('Вхідні данні'!$C$28/12,B22,'Вхідні данні'!$E$16-1,'Вхідні данні'!$C$22-'Вхідні данні'!$C$14*'Вхідні данні'!$C$29,0),IF(B22='Вхідні данні'!$E$16,'Вхідні данні'!$C$14*'Вхідні данні'!$C$29,0)),0),0)</f>
        <v>5554.7440336567988</v>
      </c>
      <c r="D22" s="7">
        <f>IF(B22&lt;='Вхідні данні'!$E$16,F21*'Вхідні данні'!$C$28/12,0)</f>
        <v>3720.370918565663</v>
      </c>
      <c r="E22" s="8">
        <f>IF(B22&lt;='Вхідні данні'!$E$16,C22+D22,0)</f>
        <v>9275.1149522224623</v>
      </c>
      <c r="F22" s="7">
        <f>IF(B22&lt;='Вхідні данні'!$E$16,F21-C22:C23,0)</f>
        <v>441336.65759585227</v>
      </c>
    </row>
    <row r="23" spans="2:6" x14ac:dyDescent="0.25">
      <c r="B23" s="6">
        <v>13</v>
      </c>
      <c r="C23" s="7">
        <f>IF(F$8&gt;0%,IF(B23&lt;='Вхідні данні'!$E$16,IF(B23&lt;'Вхідні данні'!$E$16,-PPMT('Вхідні данні'!$C$28/12,B23,'Вхідні данні'!$E$16-1,'Вхідні данні'!$C$22-'Вхідні данні'!$C$14*'Вхідні данні'!$C$29,0),IF(B23='Вхідні данні'!$E$16,'Вхідні данні'!$C$14*'Вхідні данні'!$C$29,0)),0),0)</f>
        <v>5600.9872777369919</v>
      </c>
      <c r="D23" s="7">
        <f>IF(B23&lt;='Вхідні данні'!$E$16,F22*'Вхідні данні'!$C$28/12,0)</f>
        <v>3674.1276744854699</v>
      </c>
      <c r="E23" s="8">
        <f>IF(B23&lt;='Вхідні данні'!$E$16,C23+D23,0)</f>
        <v>9275.1149522224623</v>
      </c>
      <c r="F23" s="7">
        <f>IF(B23&lt;='Вхідні данні'!$E$16,F22-C23:C24,0)</f>
        <v>435735.67031811527</v>
      </c>
    </row>
    <row r="24" spans="2:6" x14ac:dyDescent="0.25">
      <c r="B24" s="6">
        <v>14</v>
      </c>
      <c r="C24" s="7">
        <f>IF(F$8&gt;0%,IF(B24&lt;='Вхідні данні'!$E$16,IF(B24&lt;'Вхідні данні'!$E$16,-PPMT('Вхідні данні'!$C$28/12,B24,'Вхідні данні'!$E$16-1,'Вхідні данні'!$C$22-'Вхідні данні'!$C$14*'Вхідні данні'!$C$29,0),IF(B24='Вхідні данні'!$E$16,'Вхідні данні'!$C$14*'Вхідні данні'!$C$29,0)),0),0)</f>
        <v>5647.6154968241508</v>
      </c>
      <c r="D24" s="7">
        <f>IF(B24&lt;='Вхідні данні'!$E$16,F23*'Вхідні данні'!$C$28/12,0)</f>
        <v>3627.4994553983101</v>
      </c>
      <c r="E24" s="8">
        <f>IF(B24&lt;='Вхідні данні'!$E$16,C24+D24,0)</f>
        <v>9275.1149522224605</v>
      </c>
      <c r="F24" s="7">
        <f>IF(B24&lt;='Вхідні данні'!$E$16,F23-C24:C25,0)</f>
        <v>430088.05482129112</v>
      </c>
    </row>
    <row r="25" spans="2:6" x14ac:dyDescent="0.25">
      <c r="B25" s="6">
        <v>15</v>
      </c>
      <c r="C25" s="7">
        <f>IF(F$8&gt;0%,IF(B25&lt;='Вхідні данні'!$E$16,IF(B25&lt;'Вхідні данні'!$E$16,-PPMT('Вхідні данні'!$C$28/12,B25,'Вхідні данні'!$E$16-1,'Вхідні данні'!$C$22-'Вхідні данні'!$C$14*'Вхідні данні'!$C$29,0),IF(B25='Вхідні данні'!$E$16,'Вхідні данні'!$C$14*'Вхідні данні'!$C$29,0)),0),0)</f>
        <v>5694.6318958352122</v>
      </c>
      <c r="D25" s="7">
        <f>IF(B25&lt;='Вхідні данні'!$E$16,F24*'Вхідні данні'!$C$28/12,0)</f>
        <v>3580.4830563872488</v>
      </c>
      <c r="E25" s="8">
        <f>IF(B25&lt;='Вхідні данні'!$E$16,C25+D25,0)</f>
        <v>9275.1149522224605</v>
      </c>
      <c r="F25" s="7">
        <f>IF(B25&lt;='Вхідні данні'!$E$16,F24-C25:C26,0)</f>
        <v>424393.4229254559</v>
      </c>
    </row>
    <row r="26" spans="2:6" x14ac:dyDescent="0.25">
      <c r="B26" s="6">
        <v>16</v>
      </c>
      <c r="C26" s="7">
        <f>IF(F$8&gt;0%,IF(B26&lt;='Вхідні данні'!$E$16,IF(B26&lt;'Вхідні данні'!$E$16,-PPMT('Вхідні данні'!$C$28/12,B26,'Вхідні данні'!$E$16-1,'Вхідні данні'!$C$22-'Вхідні данні'!$C$14*'Вхідні данні'!$C$29,0),IF(B26='Вхідні данні'!$E$16,'Вхідні данні'!$C$14*'Вхідні данні'!$C$29,0)),0),0)</f>
        <v>5742.0397063680412</v>
      </c>
      <c r="D26" s="7">
        <f>IF(B26&lt;='Вхідні данні'!$E$16,F25*'Вхідні данні'!$C$28/12,0)</f>
        <v>3533.0752458544207</v>
      </c>
      <c r="E26" s="8">
        <f>IF(B26&lt;='Вхідні данні'!$E$16,C26+D26,0)</f>
        <v>9275.1149522224623</v>
      </c>
      <c r="F26" s="7">
        <f>IF(B26&lt;='Вхідні данні'!$E$16,F25-C26:C27,0)</f>
        <v>418651.38321908785</v>
      </c>
    </row>
    <row r="27" spans="2:6" x14ac:dyDescent="0.25">
      <c r="B27" s="6">
        <v>17</v>
      </c>
      <c r="C27" s="7">
        <f>IF(F$8&gt;0%,IF(B27&lt;='Вхідні данні'!$E$16,IF(B27&lt;'Вхідні данні'!$E$16,-PPMT('Вхідні данні'!$C$28/12,B27,'Вхідні данні'!$E$16-1,'Вхідні данні'!$C$22-'Вхідні данні'!$C$14*'Вхідні данні'!$C$29,0),IF(B27='Вхідні данні'!$E$16,'Вхідні данні'!$C$14*'Вхідні данні'!$C$29,0)),0),0)</f>
        <v>5789.8421869235544</v>
      </c>
      <c r="D27" s="7">
        <f>IF(B27&lt;='Вхідні данні'!$E$16,F26*'Вхідні данні'!$C$28/12,0)</f>
        <v>3485.2727652989065</v>
      </c>
      <c r="E27" s="8">
        <f>IF(B27&lt;='Вхідні данні'!$E$16,C27+D27,0)</f>
        <v>9275.1149522224605</v>
      </c>
      <c r="F27" s="7">
        <f>IF(B27&lt;='Вхідні данні'!$E$16,F26-C27:C28,0)</f>
        <v>412861.5410321643</v>
      </c>
    </row>
    <row r="28" spans="2:6" x14ac:dyDescent="0.25">
      <c r="B28" s="6">
        <v>18</v>
      </c>
      <c r="C28" s="7">
        <f>IF(F$8&gt;0%,IF(B28&lt;='Вхідні данні'!$E$16,IF(B28&lt;'Вхідні данні'!$E$16,-PPMT('Вхідні данні'!$C$28/12,B28,'Вхідні данні'!$E$16-1,'Вхідні данні'!$C$22-'Вхідні данні'!$C$14*'Вхідні данні'!$C$29,0),IF(B28='Вхідні данні'!$E$16,'Вхідні данні'!$C$14*'Вхідні данні'!$C$29,0)),0),0)</f>
        <v>5838.0426231296933</v>
      </c>
      <c r="D28" s="7">
        <f>IF(B28&lt;='Вхідні данні'!$E$16,F27*'Вхідні данні'!$C$28/12,0)</f>
        <v>3437.0723290927676</v>
      </c>
      <c r="E28" s="8">
        <f>IF(B28&lt;='Вхідні данні'!$E$16,C28+D28,0)</f>
        <v>9275.1149522224605</v>
      </c>
      <c r="F28" s="7">
        <f>IF(B28&lt;='Вхідні данні'!$E$16,F27-C28:C29,0)</f>
        <v>407023.49840903463</v>
      </c>
    </row>
    <row r="29" spans="2:6" x14ac:dyDescent="0.25">
      <c r="B29" s="6">
        <v>19</v>
      </c>
      <c r="C29" s="7">
        <f>IF(F$8&gt;0%,IF(B29&lt;='Вхідні данні'!$E$16,IF(B29&lt;'Вхідні данні'!$E$16,-PPMT('Вхідні данні'!$C$28/12,B29,'Вхідні данні'!$E$16-1,'Вхідні данні'!$C$22-'Вхідні данні'!$C$14*'Вхідні данні'!$C$29,0),IF(B29='Вхідні данні'!$E$16,'Вхідні данні'!$C$14*'Вхідні данні'!$C$29,0)),0),0)</f>
        <v>5886.6443279672476</v>
      </c>
      <c r="D29" s="7">
        <f>IF(B29&lt;='Вхідні данні'!$E$16,F28*'Вхідні данні'!$C$28/12,0)</f>
        <v>3388.4706242552134</v>
      </c>
      <c r="E29" s="8">
        <f>IF(B29&lt;='Вхідні данні'!$E$16,C29+D29,0)</f>
        <v>9275.1149522224605</v>
      </c>
      <c r="F29" s="7">
        <f>IF(B29&lt;='Вхідні данні'!$E$16,F28-C29:C30,0)</f>
        <v>401136.85408106737</v>
      </c>
    </row>
    <row r="30" spans="2:6" x14ac:dyDescent="0.25">
      <c r="B30" s="6">
        <v>20</v>
      </c>
      <c r="C30" s="7">
        <f>IF(F$8&gt;0%,IF(B30&lt;='Вхідні данні'!$E$16,IF(B30&lt;'Вхідні данні'!$E$16,-PPMT('Вхідні данні'!$C$28/12,B30,'Вхідні данні'!$E$16-1,'Вхідні данні'!$C$22-'Вхідні данні'!$C$14*'Вхідні данні'!$C$29,0),IF(B30='Вхідні данні'!$E$16,'Вхідні данні'!$C$14*'Вхідні данні'!$C$29,0)),0),0)</f>
        <v>5935.6506419975749</v>
      </c>
      <c r="D30" s="7">
        <f>IF(B30&lt;='Вхідні данні'!$E$16,F29*'Вхідні данні'!$C$28/12,0)</f>
        <v>3339.464310224886</v>
      </c>
      <c r="E30" s="8">
        <f>IF(B30&lt;='Вхідні данні'!$E$16,C30+D30,0)</f>
        <v>9275.1149522224605</v>
      </c>
      <c r="F30" s="7">
        <f>IF(B30&lt;='Вхідні данні'!$E$16,F29-C30:C31,0)</f>
        <v>395201.2034390698</v>
      </c>
    </row>
    <row r="31" spans="2:6" x14ac:dyDescent="0.25">
      <c r="B31" s="6">
        <v>21</v>
      </c>
      <c r="C31" s="7">
        <f>IF(F$8&gt;0%,IF(B31&lt;='Вхідні данні'!$E$16,IF(B31&lt;'Вхідні данні'!$E$16,-PPMT('Вхідні данні'!$C$28/12,B31,'Вхідні данні'!$E$16-1,'Вхідні данні'!$C$22-'Вхідні данні'!$C$14*'Вхідні данні'!$C$29,0),IF(B31='Вхідні данні'!$E$16,'Вхідні данні'!$C$14*'Вхідні данні'!$C$29,0)),0),0)</f>
        <v>5985.0649335922044</v>
      </c>
      <c r="D31" s="7">
        <f>IF(B31&lt;='Вхідні данні'!$E$16,F30*'Вхідні данні'!$C$28/12,0)</f>
        <v>3290.0500186302561</v>
      </c>
      <c r="E31" s="8">
        <f>IF(B31&lt;='Вхідні данні'!$E$16,C31+D31,0)</f>
        <v>9275.1149522224605</v>
      </c>
      <c r="F31" s="7">
        <f>IF(B31&lt;='Вхідні данні'!$E$16,F30-C31:C32,0)</f>
        <v>389216.13850547757</v>
      </c>
    </row>
    <row r="32" spans="2:6" x14ac:dyDescent="0.25">
      <c r="B32" s="6">
        <v>22</v>
      </c>
      <c r="C32" s="7">
        <f>IF(F$8&gt;0%,IF(B32&lt;='Вхідні данні'!$E$16,IF(B32&lt;'Вхідні данні'!$E$16,-PPMT('Вхідні данні'!$C$28/12,B32,'Вхідні данні'!$E$16-1,'Вхідні данні'!$C$22-'Вхідні данні'!$C$14*'Вхідні данні'!$C$29,0),IF(B32='Вхідні данні'!$E$16,'Вхідні данні'!$C$14*'Вхідні данні'!$C$29,0)),0),0)</f>
        <v>6034.8905991643596</v>
      </c>
      <c r="D32" s="7">
        <f>IF(B32&lt;='Вхідні данні'!$E$16,F31*'Вхідні данні'!$C$28/12,0)</f>
        <v>3240.2243530581013</v>
      </c>
      <c r="E32" s="8">
        <f>IF(B32&lt;='Вхідні данні'!$E$16,C32+D32,0)</f>
        <v>9275.1149522224605</v>
      </c>
      <c r="F32" s="7">
        <f>IF(B32&lt;='Вхідні данні'!$E$16,F31-C32:C33,0)</f>
        <v>383181.24790631322</v>
      </c>
    </row>
    <row r="33" spans="2:6" x14ac:dyDescent="0.25">
      <c r="B33" s="6">
        <v>23</v>
      </c>
      <c r="C33" s="7">
        <f>IF(F$8&gt;0%,IF(B33&lt;='Вхідні данні'!$E$16,IF(B33&lt;'Вхідні данні'!$E$16,-PPMT('Вхідні данні'!$C$28/12,B33,'Вхідні данні'!$E$16-1,'Вхідні данні'!$C$22-'Вхідні данні'!$C$14*'Вхідні данні'!$C$29,0),IF(B33='Вхідні данні'!$E$16,'Вхідні данні'!$C$14*'Вхідні данні'!$C$29,0)),0),0)</f>
        <v>6085.1310634024039</v>
      </c>
      <c r="D33" s="7">
        <f>IF(B33&lt;='Вхідні данні'!$E$16,F32*'Вхідні данні'!$C$28/12,0)</f>
        <v>3189.9838888200575</v>
      </c>
      <c r="E33" s="8">
        <f>IF(B33&lt;='Вхідні данні'!$E$16,C33+D33,0)</f>
        <v>9275.1149522224623</v>
      </c>
      <c r="F33" s="7">
        <f>IF(B33&lt;='Вхідні данні'!$E$16,F32-C33:C34,0)</f>
        <v>377096.11684291082</v>
      </c>
    </row>
    <row r="34" spans="2:6" x14ac:dyDescent="0.25">
      <c r="B34" s="6">
        <v>24</v>
      </c>
      <c r="C34" s="7">
        <f>IF(F$8&gt;0%,IF(B34&lt;='Вхідні данні'!$E$16,IF(B34&lt;'Вхідні данні'!$E$16,-PPMT('Вхідні данні'!$C$28/12,B34,'Вхідні данні'!$E$16-1,'Вхідні данні'!$C$22-'Вхідні данні'!$C$14*'Вхідні данні'!$C$29,0),IF(B34='Вхідні данні'!$E$16,'Вхідні данні'!$C$14*'Вхідні данні'!$C$29,0)),0),0)</f>
        <v>6135.7897795052277</v>
      </c>
      <c r="D34" s="7">
        <f>IF(B34&lt;='Вхідні данні'!$E$16,F33*'Вхідні данні'!$C$28/12,0)</f>
        <v>3139.3251727172324</v>
      </c>
      <c r="E34" s="8">
        <f>IF(B34&lt;='Вхідні данні'!$E$16,C34+D34,0)</f>
        <v>9275.1149522224605</v>
      </c>
      <c r="F34" s="7">
        <f>IF(B34&lt;='Вхідні данні'!$E$16,F33-C34:C35,0)</f>
        <v>370960.3270634056</v>
      </c>
    </row>
    <row r="35" spans="2:6" x14ac:dyDescent="0.25">
      <c r="B35" s="6">
        <v>25</v>
      </c>
      <c r="C35" s="7">
        <f>IF(F$8&gt;0%,IF(B35&lt;='Вхідні данні'!$E$16,IF(B35&lt;'Вхідні данні'!$E$16,-PPMT('Вхідні данні'!$C$28/12,B35,'Вхідні данні'!$E$16-1,'Вхідні данні'!$C$22-'Вхідні данні'!$C$14*'Вхідні данні'!$C$29,0),IF(B35='Вхідні данні'!$E$16,'Вхідні данні'!$C$14*'Вхідні данні'!$C$29,0)),0),0)</f>
        <v>6186.87022941961</v>
      </c>
      <c r="D35" s="7">
        <f>IF(B35&lt;='Вхідні данні'!$E$16,F34*'Вхідні данні'!$C$28/12,0)</f>
        <v>3088.2447228028518</v>
      </c>
      <c r="E35" s="8">
        <f>IF(B35&lt;='Вхідні данні'!$E$16,C35+D35,0)</f>
        <v>9275.1149522224623</v>
      </c>
      <c r="F35" s="7">
        <f>IF(B35&lt;='Вхідні данні'!$E$16,F34-C35:C36,0)</f>
        <v>364773.45683398598</v>
      </c>
    </row>
    <row r="36" spans="2:6" x14ac:dyDescent="0.25">
      <c r="B36" s="6">
        <v>26</v>
      </c>
      <c r="C36" s="7">
        <f>IF(F$8&gt;0%,IF(B36&lt;='Вхідні данні'!$E$16,IF(B36&lt;'Вхідні данні'!$E$16,-PPMT('Вхідні данні'!$C$28/12,B36,'Вхідні данні'!$E$16-1,'Вхідні данні'!$C$22-'Вхідні данні'!$C$14*'Вхідні данні'!$C$29,0),IF(B36='Вхідні данні'!$E$16,'Вхідні данні'!$C$14*'Вхідні данні'!$C$29,0)),0),0)</f>
        <v>6238.375924079528</v>
      </c>
      <c r="D36" s="7">
        <f>IF(B36&lt;='Вхідні данні'!$E$16,F35*'Вхідні данні'!$C$28/12,0)</f>
        <v>3036.739028142933</v>
      </c>
      <c r="E36" s="8">
        <f>IF(B36&lt;='Вхідні данні'!$E$16,C36+D36,0)</f>
        <v>9275.1149522224605</v>
      </c>
      <c r="F36" s="7">
        <f>IF(B36&lt;='Вхідні данні'!$E$16,F35-C36:C37,0)</f>
        <v>358535.08090990648</v>
      </c>
    </row>
    <row r="37" spans="2:6" x14ac:dyDescent="0.25">
      <c r="B37" s="6">
        <v>27</v>
      </c>
      <c r="C37" s="7">
        <f>IF(F$8&gt;0%,IF(B37&lt;='Вхідні данні'!$E$16,IF(B37&lt;'Вхідні данні'!$E$16,-PPMT('Вхідні данні'!$C$28/12,B37,'Вхідні данні'!$E$16-1,'Вхідні данні'!$C$22-'Вхідні данні'!$C$14*'Вхідні данні'!$C$29,0),IF(B37='Вхідні данні'!$E$16,'Вхідні данні'!$C$14*'Вхідні данні'!$C$29,0)),0),0)</f>
        <v>6290.3104036474897</v>
      </c>
      <c r="D37" s="7">
        <f>IF(B37&lt;='Вхідні данні'!$E$16,F36*'Вхідні данні'!$C$28/12,0)</f>
        <v>2984.8045485749717</v>
      </c>
      <c r="E37" s="8">
        <f>IF(B37&lt;='Вхідні данні'!$E$16,C37+D37,0)</f>
        <v>9275.1149522224623</v>
      </c>
      <c r="F37" s="7">
        <f>IF(B37&lt;='Вхідні данні'!$E$16,F36-C37:C38,0)</f>
        <v>352244.770506259</v>
      </c>
    </row>
    <row r="38" spans="2:6" x14ac:dyDescent="0.25">
      <c r="B38" s="6">
        <v>28</v>
      </c>
      <c r="C38" s="7">
        <f>IF(F$8&gt;0%,IF(B38&lt;='Вхідні данні'!$E$16,IF(B38&lt;'Вхідні данні'!$E$16,-PPMT('Вхідні данні'!$C$28/12,B38,'Вхідні данні'!$E$16-1,'Вхідні данні'!$C$22-'Вхідні данні'!$C$14*'Вхідні данні'!$C$29,0),IF(B38='Вхідні данні'!$E$16,'Вхідні данні'!$C$14*'Вхідні данні'!$C$29,0)),0),0)</f>
        <v>6342.6772377578554</v>
      </c>
      <c r="D38" s="7">
        <f>IF(B38&lt;='Вхідні данні'!$E$16,F37*'Вхідні данні'!$C$28/12,0)</f>
        <v>2932.437714464606</v>
      </c>
      <c r="E38" s="8">
        <f>IF(B38&lt;='Вхідні данні'!$E$16,C38+D38,0)</f>
        <v>9275.1149522224623</v>
      </c>
      <c r="F38" s="7">
        <f>IF(B38&lt;='Вхідні данні'!$E$16,F37-C38:C39,0)</f>
        <v>345902.09326850116</v>
      </c>
    </row>
    <row r="39" spans="2:6" x14ac:dyDescent="0.25">
      <c r="B39" s="6">
        <v>29</v>
      </c>
      <c r="C39" s="7">
        <f>IF(F$8&gt;0%,IF(B39&lt;='Вхідні данні'!$E$16,IF(B39&lt;'Вхідні данні'!$E$16,-PPMT('Вхідні данні'!$C$28/12,B39,'Вхідні данні'!$E$16-1,'Вхідні данні'!$C$22-'Вхідні данні'!$C$14*'Вхідні данні'!$C$29,0),IF(B39='Вхідні данні'!$E$16,'Вхідні данні'!$C$14*'Вхідні данні'!$C$29,0)),0),0)</f>
        <v>6395.4800257621891</v>
      </c>
      <c r="D39" s="7">
        <f>IF(B39&lt;='Вхідні данні'!$E$16,F38*'Вхідні данні'!$C$28/12,0)</f>
        <v>2879.6349264602723</v>
      </c>
      <c r="E39" s="8">
        <f>IF(B39&lt;='Вхідні данні'!$E$16,C39+D39,0)</f>
        <v>9275.1149522224623</v>
      </c>
      <c r="F39" s="7">
        <f>IF(B39&lt;='Вхідні данні'!$E$16,F38-C39:C40,0)</f>
        <v>339506.613242739</v>
      </c>
    </row>
    <row r="40" spans="2:6" x14ac:dyDescent="0.25">
      <c r="B40" s="6">
        <v>30</v>
      </c>
      <c r="C40" s="7">
        <f>IF(F$8&gt;0%,IF(B40&lt;='Вхідні данні'!$E$16,IF(B40&lt;'Вхідні данні'!$E$16,-PPMT('Вхідні данні'!$C$28/12,B40,'Вхідні данні'!$E$16-1,'Вхідні данні'!$C$22-'Вхідні данні'!$C$14*'Вхідні данні'!$C$29,0),IF(B40='Вхідні данні'!$E$16,'Вхідні данні'!$C$14*'Вхідні данні'!$C$29,0)),0),0)</f>
        <v>6448.7223969766601</v>
      </c>
      <c r="D40" s="7">
        <f>IF(B40&lt;='Вхідні данні'!$E$16,F39*'Вхідні данні'!$C$28/12,0)</f>
        <v>2826.3925552458022</v>
      </c>
      <c r="E40" s="8">
        <f>IF(B40&lt;='Вхідні данні'!$E$16,C40+D40,0)</f>
        <v>9275.1149522224623</v>
      </c>
      <c r="F40" s="7">
        <f>IF(B40&lt;='Вхідні данні'!$E$16,F39-C40:C41,0)</f>
        <v>333057.89084576233</v>
      </c>
    </row>
    <row r="41" spans="2:6" x14ac:dyDescent="0.25">
      <c r="B41" s="6">
        <v>31</v>
      </c>
      <c r="C41" s="7">
        <f>IF(F$8&gt;0%,IF(B41&lt;='Вхідні данні'!$E$16,IF(B41&lt;'Вхідні данні'!$E$16,-PPMT('Вхідні данні'!$C$28/12,B41,'Вхідні данні'!$E$16-1,'Вхідні данні'!$C$22-'Вхідні данні'!$C$14*'Вхідні данні'!$C$29,0),IF(B41='Вхідні данні'!$E$16,'Вхідні данні'!$C$14*'Вхідні данні'!$C$29,0)),0),0)</f>
        <v>6502.40801093149</v>
      </c>
      <c r="D41" s="7">
        <f>IF(B41&lt;='Вхідні данні'!$E$16,F40*'Вхідні данні'!$C$28/12,0)</f>
        <v>2772.7069412909714</v>
      </c>
      <c r="E41" s="8">
        <f>IF(B41&lt;='Вхідні данні'!$E$16,C41+D41,0)</f>
        <v>9275.1149522224623</v>
      </c>
      <c r="F41" s="7">
        <f>IF(B41&lt;='Вхідні данні'!$E$16,F40-C41:C42,0)</f>
        <v>326555.48283483082</v>
      </c>
    </row>
    <row r="42" spans="2:6" x14ac:dyDescent="0.25">
      <c r="B42" s="6">
        <v>32</v>
      </c>
      <c r="C42" s="7">
        <f>IF(F$8&gt;0%,IF(B42&lt;='Вхідні данні'!$E$16,IF(B42&lt;'Вхідні данні'!$E$16,-PPMT('Вхідні данні'!$C$28/12,B42,'Вхідні данні'!$E$16-1,'Вхідні данні'!$C$22-'Вхідні данні'!$C$14*'Вхідні данні'!$C$29,0),IF(B42='Вхідні данні'!$E$16,'Вхідні данні'!$C$14*'Вхідні данні'!$C$29,0)),0),0)</f>
        <v>6556.5405576224948</v>
      </c>
      <c r="D42" s="7">
        <f>IF(B42&lt;='Вхідні данні'!$E$16,F41*'Вхідні данні'!$C$28/12,0)</f>
        <v>2718.5743945999666</v>
      </c>
      <c r="E42" s="8">
        <f>IF(B42&lt;='Вхідні данні'!$E$16,C42+D42,0)</f>
        <v>9275.1149522224623</v>
      </c>
      <c r="F42" s="7">
        <f>IF(B42&lt;='Вхідні данні'!$E$16,F41-C42:C43,0)</f>
        <v>319998.94227720832</v>
      </c>
    </row>
    <row r="43" spans="2:6" x14ac:dyDescent="0.25">
      <c r="B43" s="6">
        <v>33</v>
      </c>
      <c r="C43" s="7">
        <f>IF(F$8&gt;0%,IF(B43&lt;='Вхідні данні'!$E$16,IF(B43&lt;'Вхідні данні'!$E$16,-PPMT('Вхідні данні'!$C$28/12,B43,'Вхідні данні'!$E$16-1,'Вхідні данні'!$C$22-'Вхідні данні'!$C$14*'Вхідні данні'!$C$29,0),IF(B43='Вхідні данні'!$E$16,'Вхідні данні'!$C$14*'Вхідні данні'!$C$29,0)),0),0)</f>
        <v>6611.1237577647025</v>
      </c>
      <c r="D43" s="7">
        <f>IF(B43&lt;='Вхідні данні'!$E$16,F42*'Вхідні данні'!$C$28/12,0)</f>
        <v>2663.9911944577593</v>
      </c>
      <c r="E43" s="8">
        <f>IF(B43&lt;='Вхідні данні'!$E$16,C43+D43,0)</f>
        <v>9275.1149522224623</v>
      </c>
      <c r="F43" s="7">
        <f>IF(B43&lt;='Вхідні данні'!$E$16,F42-C43:C44,0)</f>
        <v>313387.81851944362</v>
      </c>
    </row>
    <row r="44" spans="2:6" x14ac:dyDescent="0.25">
      <c r="B44" s="6">
        <v>34</v>
      </c>
      <c r="C44" s="7">
        <f>IF(F$8&gt;0%,IF(B44&lt;='Вхідні данні'!$E$16,IF(B44&lt;'Вхідні данні'!$E$16,-PPMT('Вхідні данні'!$C$28/12,B44,'Вхідні данні'!$E$16-1,'Вхідні данні'!$C$22-'Вхідні данні'!$C$14*'Вхідні данні'!$C$29,0),IF(B44='Вхідні данні'!$E$16,'Вхідні данні'!$C$14*'Вхідні данні'!$C$29,0)),0),0)</f>
        <v>6666.1613630480933</v>
      </c>
      <c r="D44" s="7">
        <f>IF(B44&lt;='Вхідні данні'!$E$16,F43*'Вхідні данні'!$C$28/12,0)</f>
        <v>2608.9535891743685</v>
      </c>
      <c r="E44" s="8">
        <f>IF(B44&lt;='Вхідні данні'!$E$16,C44+D44,0)</f>
        <v>9275.1149522224623</v>
      </c>
      <c r="F44" s="7">
        <f>IF(B44&lt;='Вхідні данні'!$E$16,F43-C44:C45,0)</f>
        <v>306721.65715639555</v>
      </c>
    </row>
    <row r="45" spans="2:6" x14ac:dyDescent="0.25">
      <c r="B45" s="6">
        <v>35</v>
      </c>
      <c r="C45" s="7">
        <f>IF(F$8&gt;0%,IF(B45&lt;='Вхідні данні'!$E$16,IF(B45&lt;'Вхідні данні'!$E$16,-PPMT('Вхідні данні'!$C$28/12,B45,'Вхідні данні'!$E$16-1,'Вхідні данні'!$C$22-'Вхідні данні'!$C$14*'Вхідні данні'!$C$29,0),IF(B45='Вхідні данні'!$E$16,'Вхідні данні'!$C$14*'Вхідні данні'!$C$29,0)),0),0)</f>
        <v>6721.6571563954685</v>
      </c>
      <c r="D45" s="7">
        <f>IF(B45&lt;='Вхідні данні'!$E$16,F44*'Вхідні данні'!$C$28/12,0)</f>
        <v>2553.4577958269933</v>
      </c>
      <c r="E45" s="8">
        <f>IF(B45&lt;='Вхідні данні'!$E$16,C45+D45,0)</f>
        <v>9275.1149522224623</v>
      </c>
      <c r="F45" s="7">
        <f>IF(B45&lt;='Вхідні данні'!$E$16,F44-C45:C46,0)</f>
        <v>300000.00000000006</v>
      </c>
    </row>
    <row r="46" spans="2:6" x14ac:dyDescent="0.25">
      <c r="B46" s="6">
        <v>36</v>
      </c>
      <c r="C46" s="7">
        <f>IF(F$8&gt;0%,IF(B46&lt;='Вхідні данні'!$E$16,IF(B46&lt;'Вхідні данні'!$E$16,-PPMT('Вхідні данні'!$C$28/12,B46,'Вхідні данні'!$E$16-1,'Вхідні данні'!$C$22-'Вхідні данні'!$C$14*'Вхідні данні'!$C$29,0),IF(B46='Вхідні данні'!$E$16,'Вхідні данні'!$C$14*'Вхідні данні'!$C$29,0)),0),0)</f>
        <v>300000</v>
      </c>
      <c r="D46" s="7">
        <f>IF(B46&lt;='Вхідні данні'!$E$16,F45*'Вхідні данні'!$C$28/12,0)</f>
        <v>2497.5000000000005</v>
      </c>
      <c r="E46" s="8">
        <f>IF(B46&lt;='Вхідні данні'!$E$16,C46+D46,0)</f>
        <v>302497.5</v>
      </c>
      <c r="F46" s="7">
        <f>IF(B46&lt;='Вхідні данні'!$E$16,F45-C46:C47,0)</f>
        <v>5.8207660913467407E-11</v>
      </c>
    </row>
    <row r="47" spans="2:6" hidden="1" x14ac:dyDescent="0.25">
      <c r="B47" s="6">
        <v>37</v>
      </c>
      <c r="C47" s="7">
        <f>IF(F$8&gt;0%,IF(B47&lt;='Вхідні данні'!$E$16,IF(B47&lt;'Вхідні данні'!$E$16,-PPMT('Вхідні данні'!$C$28/12,B47,'Вхідні данні'!$E$16-1,'Вхідні данні'!$C$22-'Вхідні данні'!$C$14*'Вхідні данні'!$C$29,0),IF(B47='Вхідні данні'!$E$16,'Вхідні данні'!$C$14*'Вхідні данні'!$C$29,0)),0),0)</f>
        <v>0</v>
      </c>
      <c r="D47" s="7">
        <f>IF(B47&lt;='Вхідні данні'!$E$16,F46*'Вхідні данні'!$C$26/12,0)</f>
        <v>0</v>
      </c>
      <c r="E47" s="8">
        <f>IF(B47&lt;='Вхідні данні'!$E$16,C47+D47,0)</f>
        <v>0</v>
      </c>
      <c r="F47" s="7">
        <f>IF(B47&lt;='Вхідні данні'!$E$16,F46-C47:C48,0)</f>
        <v>0</v>
      </c>
    </row>
    <row r="48" spans="2:6" hidden="1" x14ac:dyDescent="0.25">
      <c r="B48" s="6">
        <v>38</v>
      </c>
      <c r="C48" s="7">
        <f>IF(F$8&gt;0%,IF(B48&lt;='Вхідні данні'!$E$16,IF(B48&lt;'Вхідні данні'!$E$16,-PPMT('Вхідні данні'!$C$28/12,B48,'Вхідні данні'!$E$16-1,'Вхідні данні'!$C$22-'Вхідні данні'!$C$14*'Вхідні данні'!$C$29,0),IF(B48='Вхідні данні'!$E$16,'Вхідні данні'!$C$14*'Вхідні данні'!$C$29,0)),0),0)</f>
        <v>0</v>
      </c>
      <c r="D48" s="7">
        <f>IF(B48&lt;='Вхідні данні'!$E$16,F47*'Вхідні данні'!$C$26/12,0)</f>
        <v>0</v>
      </c>
      <c r="E48" s="8">
        <f>IF(B48&lt;='Вхідні данні'!$E$16,C48+D48,0)</f>
        <v>0</v>
      </c>
      <c r="F48" s="7">
        <f>IF(B48&lt;='Вхідні данні'!$E$16,F47-C48:C49,0)</f>
        <v>0</v>
      </c>
    </row>
    <row r="49" spans="2:6" hidden="1" x14ac:dyDescent="0.25">
      <c r="B49" s="6">
        <v>39</v>
      </c>
      <c r="C49" s="7">
        <f>IF(F$8&gt;0%,IF(B49&lt;='Вхідні данні'!$E$16,IF(B49&lt;'Вхідні данні'!$E$16,-PPMT('Вхідні данні'!$C$28/12,B49,'Вхідні данні'!$E$16-1,'Вхідні данні'!$C$22-'Вхідні данні'!$C$14*'Вхідні данні'!$C$29,0),IF(B49='Вхідні данні'!$E$16,'Вхідні данні'!$C$14*'Вхідні данні'!$C$29,0)),0),0)</f>
        <v>0</v>
      </c>
      <c r="D49" s="7">
        <f>IF(B49&lt;='Вхідні данні'!$E$16,F48*'Вхідні данні'!$C$26/12,0)</f>
        <v>0</v>
      </c>
      <c r="E49" s="8">
        <f>IF(B49&lt;='Вхідні данні'!$E$16,C49+D49,0)</f>
        <v>0</v>
      </c>
      <c r="F49" s="7">
        <f>IF(B49&lt;='Вхідні данні'!$E$16,F48-C49:C50,0)</f>
        <v>0</v>
      </c>
    </row>
    <row r="50" spans="2:6" hidden="1" x14ac:dyDescent="0.25">
      <c r="B50" s="6">
        <v>40</v>
      </c>
      <c r="C50" s="7">
        <f>IF(F$8&gt;0%,IF(B50&lt;='Вхідні данні'!$E$16,IF(B50&lt;'Вхідні данні'!$E$16,-PPMT('Вхідні данні'!$C$28/12,B50,'Вхідні данні'!$E$16-1,'Вхідні данні'!$C$22-'Вхідні данні'!$C$14*'Вхідні данні'!$C$29,0),IF(B50='Вхідні данні'!$E$16,'Вхідні данні'!$C$14*'Вхідні данні'!$C$29,0)),0),0)</f>
        <v>0</v>
      </c>
      <c r="D50" s="7">
        <f>IF(B50&lt;='Вхідні данні'!$E$16,F49*'Вхідні данні'!$C$26/12,0)</f>
        <v>0</v>
      </c>
      <c r="E50" s="8">
        <f>IF(B50&lt;='Вхідні данні'!$E$16,C50+D50,0)</f>
        <v>0</v>
      </c>
      <c r="F50" s="7">
        <f>IF(B50&lt;='Вхідні данні'!$E$16,F49-C50:C51,0)</f>
        <v>0</v>
      </c>
    </row>
    <row r="51" spans="2:6" hidden="1" x14ac:dyDescent="0.25">
      <c r="B51" s="6">
        <v>41</v>
      </c>
      <c r="C51" s="7">
        <f>IF(F$8&gt;0%,IF(B51&lt;='Вхідні данні'!$E$16,IF(B51&lt;'Вхідні данні'!$E$16,-PPMT('Вхідні данні'!$C$28/12,B51,'Вхідні данні'!$E$16-1,'Вхідні данні'!$C$22-'Вхідні данні'!$C$14*'Вхідні данні'!$C$29,0),IF(B51='Вхідні данні'!$E$16,'Вхідні данні'!$C$14*'Вхідні данні'!$C$29,0)),0),0)</f>
        <v>0</v>
      </c>
      <c r="D51" s="7">
        <f>IF(B51&lt;='Вхідні данні'!$E$16,F50*'Вхідні данні'!$C$26/12,0)</f>
        <v>0</v>
      </c>
      <c r="E51" s="8">
        <f>IF(B51&lt;='Вхідні данні'!$E$16,C51+D51,0)</f>
        <v>0</v>
      </c>
      <c r="F51" s="7">
        <f>IF(B51&lt;='Вхідні данні'!$E$16,F50-C51:C52,0)</f>
        <v>0</v>
      </c>
    </row>
    <row r="52" spans="2:6" hidden="1" x14ac:dyDescent="0.25">
      <c r="B52" s="6">
        <v>42</v>
      </c>
      <c r="C52" s="7">
        <f>IF(F$8&gt;0%,IF(B52&lt;='Вхідні данні'!$E$16,IF(B52&lt;'Вхідні данні'!$E$16,-PPMT('Вхідні данні'!$C$28/12,B52,'Вхідні данні'!$E$16-1,'Вхідні данні'!$C$22-'Вхідні данні'!$C$14*'Вхідні данні'!$C$29,0),IF(B52='Вхідні данні'!$E$16,'Вхідні данні'!$C$14*'Вхідні данні'!$C$29,0)),0),0)</f>
        <v>0</v>
      </c>
      <c r="D52" s="7">
        <f>IF(B52&lt;='Вхідні данні'!$E$16,F51*'Вхідні данні'!$C$26/12,0)</f>
        <v>0</v>
      </c>
      <c r="E52" s="8">
        <f>IF(B52&lt;='Вхідні данні'!$E$16,C52+D52,0)</f>
        <v>0</v>
      </c>
      <c r="F52" s="7">
        <f>IF(B52&lt;='Вхідні данні'!$E$16,F51-C52:C53,0)</f>
        <v>0</v>
      </c>
    </row>
    <row r="53" spans="2:6" hidden="1" x14ac:dyDescent="0.25">
      <c r="B53" s="6">
        <v>43</v>
      </c>
      <c r="C53" s="7">
        <f>IF(F$8&gt;0%,IF(B53&lt;='Вхідні данні'!$E$16,IF(B53&lt;'Вхідні данні'!$E$16,-PPMT('Вхідні данні'!$C$28/12,B53,'Вхідні данні'!$E$16-1,'Вхідні данні'!$C$22-'Вхідні данні'!$C$14*'Вхідні данні'!$C$29,0),IF(B53='Вхідні данні'!$E$16,'Вхідні данні'!$C$14*'Вхідні данні'!$C$29,0)),0),0)</f>
        <v>0</v>
      </c>
      <c r="D53" s="7">
        <f>IF(B53&lt;='Вхідні данні'!$E$16,F52*'Вхідні данні'!$C$26/12,0)</f>
        <v>0</v>
      </c>
      <c r="E53" s="8">
        <f>IF(B53&lt;='Вхідні данні'!$E$16,C53+D53,0)</f>
        <v>0</v>
      </c>
      <c r="F53" s="7">
        <f>IF(B53&lt;='Вхідні данні'!$E$16,F52-C53:C54,0)</f>
        <v>0</v>
      </c>
    </row>
    <row r="54" spans="2:6" hidden="1" x14ac:dyDescent="0.25">
      <c r="B54" s="6">
        <v>44</v>
      </c>
      <c r="C54" s="7">
        <f>IF(F$8&gt;0%,IF(B54&lt;='Вхідні данні'!$E$16,IF(B54&lt;'Вхідні данні'!$E$16,-PPMT('Вхідні данні'!$C$28/12,B54,'Вхідні данні'!$E$16-1,'Вхідні данні'!$C$22-'Вхідні данні'!$C$14*'Вхідні данні'!$C$29,0),IF(B54='Вхідні данні'!$E$16,'Вхідні данні'!$C$14*'Вхідні данні'!$C$29,0)),0),0)</f>
        <v>0</v>
      </c>
      <c r="D54" s="7">
        <f>IF(B54&lt;='Вхідні данні'!$E$16,F53*'Вхідні данні'!$C$26/12,0)</f>
        <v>0</v>
      </c>
      <c r="E54" s="8">
        <f>IF(B54&lt;='Вхідні данні'!$E$16,C54+D54,0)</f>
        <v>0</v>
      </c>
      <c r="F54" s="7">
        <f>IF(B54&lt;='Вхідні данні'!$E$16,F53-C54:C55,0)</f>
        <v>0</v>
      </c>
    </row>
    <row r="55" spans="2:6" hidden="1" x14ac:dyDescent="0.25">
      <c r="B55" s="6">
        <v>45</v>
      </c>
      <c r="C55" s="7">
        <f>IF(F$8&gt;0%,IF(B55&lt;='Вхідні данні'!$E$16,IF(B55&lt;'Вхідні данні'!$E$16,-PPMT('Вхідні данні'!$C$28/12,B55,'Вхідні данні'!$E$16-1,'Вхідні данні'!$C$22-'Вхідні данні'!$C$14*'Вхідні данні'!$C$29,0),IF(B55='Вхідні данні'!$E$16,'Вхідні данні'!$C$14*'Вхідні данні'!$C$29,0)),0),0)</f>
        <v>0</v>
      </c>
      <c r="D55" s="7">
        <f>IF(B55&lt;='Вхідні данні'!$E$16,F54*'Вхідні данні'!$C$26/12,0)</f>
        <v>0</v>
      </c>
      <c r="E55" s="8">
        <f>IF(B55&lt;='Вхідні данні'!$E$16,C55+D55,0)</f>
        <v>0</v>
      </c>
      <c r="F55" s="7">
        <f>IF(B55&lt;='Вхідні данні'!$E$16,F54-C55:C56,0)</f>
        <v>0</v>
      </c>
    </row>
    <row r="56" spans="2:6" hidden="1" x14ac:dyDescent="0.25">
      <c r="B56" s="6">
        <v>46</v>
      </c>
      <c r="C56" s="7">
        <f>IF(F$8&gt;0%,IF(B56&lt;='Вхідні данні'!$E$16,IF(B56&lt;'Вхідні данні'!$E$16,-PPMT('Вхідні данні'!$C$28/12,B56,'Вхідні данні'!$E$16-1,'Вхідні данні'!$C$22-'Вхідні данні'!$C$14*'Вхідні данні'!$C$29,0),IF(B56='Вхідні данні'!$E$16,'Вхідні данні'!$C$14*'Вхідні данні'!$C$29,0)),0),0)</f>
        <v>0</v>
      </c>
      <c r="D56" s="7">
        <f>IF(B56&lt;='Вхідні данні'!$E$16,F55*'Вхідні данні'!$C$26/12,0)</f>
        <v>0</v>
      </c>
      <c r="E56" s="8">
        <f>IF(B56&lt;='Вхідні данні'!$E$16,C56+D56,0)</f>
        <v>0</v>
      </c>
      <c r="F56" s="7">
        <f>IF(B56&lt;='Вхідні данні'!$E$16,F55-C56:C57,0)</f>
        <v>0</v>
      </c>
    </row>
    <row r="57" spans="2:6" hidden="1" x14ac:dyDescent="0.25">
      <c r="B57" s="6">
        <v>47</v>
      </c>
      <c r="C57" s="7">
        <f>IF(F$8&gt;0%,IF(B57&lt;='Вхідні данні'!$E$16,IF(B57&lt;'Вхідні данні'!$E$16,-PPMT('Вхідні данні'!$C$28/12,B57,'Вхідні данні'!$E$16-1,'Вхідні данні'!$C$22-'Вхідні данні'!$C$14*'Вхідні данні'!$C$29,0),IF(B57='Вхідні данні'!$E$16,'Вхідні данні'!$C$14*'Вхідні данні'!$C$29,0)),0),0)</f>
        <v>0</v>
      </c>
      <c r="D57" s="7">
        <f>IF(B57&lt;='Вхідні данні'!$E$16,F56*'Вхідні данні'!$C$26/12,0)</f>
        <v>0</v>
      </c>
      <c r="E57" s="8">
        <f>IF(B57&lt;='Вхідні данні'!$E$16,C57+D57,0)</f>
        <v>0</v>
      </c>
      <c r="F57" s="7">
        <f>IF(B57&lt;='Вхідні данні'!$E$16,F56-C57:C58,0)</f>
        <v>0</v>
      </c>
    </row>
    <row r="58" spans="2:6" hidden="1" x14ac:dyDescent="0.25">
      <c r="B58" s="6">
        <v>48</v>
      </c>
      <c r="C58" s="7">
        <f>IF(F$8&gt;0%,IF(B58&lt;='Вхідні данні'!$E$16,IF(B58&lt;'Вхідні данні'!$E$16,-PPMT('Вхідні данні'!$C$28/12,B58,'Вхідні данні'!$E$16-1,'Вхідні данні'!$C$22-'Вхідні данні'!$C$14*'Вхідні данні'!$C$29,0),IF(B58='Вхідні данні'!$E$16,'Вхідні данні'!$C$14*'Вхідні данні'!$C$29,0)),0),0)</f>
        <v>0</v>
      </c>
      <c r="D58" s="7">
        <f>IF(B58&lt;='Вхідні данні'!$E$16,F57*'Вхідні данні'!$C$26/12,0)</f>
        <v>0</v>
      </c>
      <c r="E58" s="8">
        <f>IF(B58&lt;='Вхідні данні'!$E$16,C58+D58,0)</f>
        <v>0</v>
      </c>
      <c r="F58" s="7">
        <f>IF(B58&lt;='Вхідні данні'!$E$16,F57-C58:C59,0)</f>
        <v>0</v>
      </c>
    </row>
    <row r="59" spans="2:6" hidden="1" x14ac:dyDescent="0.25">
      <c r="B59" s="6">
        <v>49</v>
      </c>
      <c r="C59" s="7">
        <f>IF(F$8&gt;0%,IF(B59&lt;='Вхідні данні'!$E$16,IF(B59&lt;'Вхідні данні'!$E$16,-PPMT('Вхідні данні'!$C$28/12,B59,'Вхідні данні'!$E$16-1,'Вхідні данні'!$C$22-'Вхідні данні'!$C$14*'Вхідні данні'!$C$29,0),IF(B59='Вхідні данні'!$E$16,'Вхідні данні'!$C$14*'Вхідні данні'!$C$29,0)),0),0)</f>
        <v>0</v>
      </c>
      <c r="D59" s="7">
        <f>IF(B59&lt;='Вхідні данні'!$E$16,F58*'Вхідні данні'!$C$26/12,0)</f>
        <v>0</v>
      </c>
      <c r="E59" s="8">
        <f>IF(B59&lt;='Вхідні данні'!$E$16,C59+D59,0)</f>
        <v>0</v>
      </c>
      <c r="F59" s="7">
        <f>IF(B59&lt;='Вхідні данні'!$E$16,F58-C59:C60,0)</f>
        <v>0</v>
      </c>
    </row>
    <row r="60" spans="2:6" hidden="1" x14ac:dyDescent="0.25">
      <c r="B60" s="6">
        <v>50</v>
      </c>
      <c r="C60" s="7">
        <f>IF(F$8&gt;0%,IF(B60&lt;='Вхідні данні'!$E$16,IF(B60&lt;'Вхідні данні'!$E$16,-PPMT('Вхідні данні'!$C$28/12,B60,'Вхідні данні'!$E$16-1,'Вхідні данні'!$C$22-'Вхідні данні'!$C$14*'Вхідні данні'!$C$29,0),IF(B60='Вхідні данні'!$E$16,'Вхідні данні'!$C$14*'Вхідні данні'!$C$29,0)),0),0)</f>
        <v>0</v>
      </c>
      <c r="D60" s="7">
        <f>IF(B60&lt;='Вхідні данні'!$E$16,F59*'Вхідні данні'!$C$26/12,0)</f>
        <v>0</v>
      </c>
      <c r="E60" s="8">
        <f>IF(B60&lt;='Вхідні данні'!$E$16,C60+D60,0)</f>
        <v>0</v>
      </c>
      <c r="F60" s="7">
        <f>IF(B60&lt;='Вхідні данні'!$E$16,F59-C60:C61,0)</f>
        <v>0</v>
      </c>
    </row>
    <row r="61" spans="2:6" hidden="1" x14ac:dyDescent="0.25">
      <c r="B61" s="6">
        <v>51</v>
      </c>
      <c r="C61" s="7">
        <f>IF(F$8&gt;0%,IF(B61&lt;='Вхідні данні'!$E$16,IF(B61&lt;'Вхідні данні'!$E$16,-PPMT('Вхідні данні'!$C$28/12,B61,'Вхідні данні'!$E$16-1,'Вхідні данні'!$C$22-'Вхідні данні'!$C$14*'Вхідні данні'!$C$29,0),IF(B61='Вхідні данні'!$E$16,'Вхідні данні'!$C$14*'Вхідні данні'!$C$29,0)),0),0)</f>
        <v>0</v>
      </c>
      <c r="D61" s="7">
        <f>IF(B61&lt;='Вхідні данні'!$E$16,F60*'Вхідні данні'!$C$26/12,0)</f>
        <v>0</v>
      </c>
      <c r="E61" s="8">
        <f>IF(B61&lt;='Вхідні данні'!$E$16,C61+D61,0)</f>
        <v>0</v>
      </c>
      <c r="F61" s="7">
        <f>IF(B61&lt;='Вхідні данні'!$E$16,F60-C61:C62,0)</f>
        <v>0</v>
      </c>
    </row>
    <row r="62" spans="2:6" hidden="1" x14ac:dyDescent="0.25">
      <c r="B62" s="6">
        <v>52</v>
      </c>
      <c r="C62" s="7">
        <f>IF(F$8&gt;0%,IF(B62&lt;='Вхідні данні'!$E$16,IF(B62&lt;'Вхідні данні'!$E$16,-PPMT('Вхідні данні'!$C$28/12,B62,'Вхідні данні'!$E$16-1,'Вхідні данні'!$C$22-'Вхідні данні'!$C$14*'Вхідні данні'!$C$29,0),IF(B62='Вхідні данні'!$E$16,'Вхідні данні'!$C$14*'Вхідні данні'!$C$29,0)),0),0)</f>
        <v>0</v>
      </c>
      <c r="D62" s="7">
        <f>IF(B62&lt;='Вхідні данні'!$E$16,F61*'Вхідні данні'!$C$26/12,0)</f>
        <v>0</v>
      </c>
      <c r="E62" s="8">
        <f>IF(B62&lt;='Вхідні данні'!$E$16,C62+D62,0)</f>
        <v>0</v>
      </c>
      <c r="F62" s="7">
        <f>IF(B62&lt;='Вхідні данні'!$E$16,F61-C62:C63,0)</f>
        <v>0</v>
      </c>
    </row>
    <row r="63" spans="2:6" hidden="1" x14ac:dyDescent="0.25">
      <c r="B63" s="6">
        <v>53</v>
      </c>
      <c r="C63" s="7">
        <f>IF(F$8&gt;0%,IF(B63&lt;='Вхідні данні'!$E$16,IF(B63&lt;'Вхідні данні'!$E$16,-PPMT('Вхідні данні'!$C$28/12,B63,'Вхідні данні'!$E$16-1,'Вхідні данні'!$C$22-'Вхідні данні'!$C$14*'Вхідні данні'!$C$29,0),IF(B63='Вхідні данні'!$E$16,'Вхідні данні'!$C$14*'Вхідні данні'!$C$29,0)),0),0)</f>
        <v>0</v>
      </c>
      <c r="D63" s="7">
        <f>IF(B63&lt;='Вхідні данні'!$E$16,F62*'Вхідні данні'!$C$26/12,0)</f>
        <v>0</v>
      </c>
      <c r="E63" s="8">
        <f>IF(B63&lt;='Вхідні данні'!$E$16,C63+D63,0)</f>
        <v>0</v>
      </c>
      <c r="F63" s="7">
        <f>IF(B63&lt;='Вхідні данні'!$E$16,F62-C63:C64,0)</f>
        <v>0</v>
      </c>
    </row>
    <row r="64" spans="2:6" hidden="1" x14ac:dyDescent="0.25">
      <c r="B64" s="6">
        <v>54</v>
      </c>
      <c r="C64" s="7">
        <f>IF(F$8&gt;0%,IF(B64&lt;='Вхідні данні'!$E$16,IF(B64&lt;'Вхідні данні'!$E$16,-PPMT('Вхідні данні'!$C$28/12,B64,'Вхідні данні'!$E$16-1,'Вхідні данні'!$C$22-'Вхідні данні'!$C$14*'Вхідні данні'!$C$29,0),IF(B64='Вхідні данні'!$E$16,'Вхідні данні'!$C$14*'Вхідні данні'!$C$29,0)),0),0)</f>
        <v>0</v>
      </c>
      <c r="D64" s="7">
        <f>IF(B64&lt;='Вхідні данні'!$E$16,F63*'Вхідні данні'!$C$26/12,0)</f>
        <v>0</v>
      </c>
      <c r="E64" s="8">
        <f>IF(B64&lt;='Вхідні данні'!$E$16,C64+D64,0)</f>
        <v>0</v>
      </c>
      <c r="F64" s="7">
        <f>IF(B64&lt;='Вхідні данні'!$E$16,F63-C64:C65,0)</f>
        <v>0</v>
      </c>
    </row>
    <row r="65" spans="2:6" hidden="1" x14ac:dyDescent="0.25">
      <c r="B65" s="6">
        <v>55</v>
      </c>
      <c r="C65" s="7">
        <f>IF(F$8&gt;0%,IF(B65&lt;='Вхідні данні'!$E$16,IF(B65&lt;'Вхідні данні'!$E$16,-PPMT('Вхідні данні'!$C$28/12,B65,'Вхідні данні'!$E$16-1,'Вхідні данні'!$C$22-'Вхідні данні'!$C$14*'Вхідні данні'!$C$29,0),IF(B65='Вхідні данні'!$E$16,'Вхідні данні'!$C$14*'Вхідні данні'!$C$29,0)),0),0)</f>
        <v>0</v>
      </c>
      <c r="D65" s="7">
        <f>IF(B65&lt;='Вхідні данні'!$E$16,F64*'Вхідні данні'!$C$26/12,0)</f>
        <v>0</v>
      </c>
      <c r="E65" s="8">
        <f>IF(B65&lt;='Вхідні данні'!$E$16,C65+D65,0)</f>
        <v>0</v>
      </c>
      <c r="F65" s="7">
        <f>IF(B65&lt;='Вхідні данні'!$E$16,F64-C65:C66,0)</f>
        <v>0</v>
      </c>
    </row>
    <row r="66" spans="2:6" hidden="1" x14ac:dyDescent="0.25">
      <c r="B66" s="6">
        <v>56</v>
      </c>
      <c r="C66" s="7">
        <f>IF(F$8&gt;0%,IF(B66&lt;='Вхідні данні'!$E$16,IF(B66&lt;'Вхідні данні'!$E$16,-PPMT('Вхідні данні'!$C$28/12,B66,'Вхідні данні'!$E$16-1,'Вхідні данні'!$C$22-'Вхідні данні'!$C$14*'Вхідні данні'!$C$29,0),IF(B66='Вхідні данні'!$E$16,'Вхідні данні'!$C$14*'Вхідні данні'!$C$29,0)),0),0)</f>
        <v>0</v>
      </c>
      <c r="D66" s="7">
        <f>IF(B66&lt;='Вхідні данні'!$E$16,F65*'Вхідні данні'!$C$26/12,0)</f>
        <v>0</v>
      </c>
      <c r="E66" s="8">
        <f>IF(B66&lt;='Вхідні данні'!$E$16,C66+D66,0)</f>
        <v>0</v>
      </c>
      <c r="F66" s="7">
        <f>IF(B66&lt;='Вхідні данні'!$E$16,F65-C66:C67,0)</f>
        <v>0</v>
      </c>
    </row>
    <row r="67" spans="2:6" hidden="1" x14ac:dyDescent="0.25">
      <c r="B67" s="6">
        <v>57</v>
      </c>
      <c r="C67" s="7">
        <f>IF(F$8&gt;0%,IF(B67&lt;='Вхідні данні'!$E$16,IF(B67&lt;'Вхідні данні'!$E$16,-PPMT('Вхідні данні'!$C$28/12,B67,'Вхідні данні'!$E$16-1,'Вхідні данні'!$C$22-'Вхідні данні'!$C$14*'Вхідні данні'!$C$29,0),IF(B67='Вхідні данні'!$E$16,'Вхідні данні'!$C$14*'Вхідні данні'!$C$29,0)),0),0)</f>
        <v>0</v>
      </c>
      <c r="D67" s="7">
        <f>IF(B67&lt;='Вхідні данні'!$E$16,F66*'Вхідні данні'!$C$26/12,0)</f>
        <v>0</v>
      </c>
      <c r="E67" s="8">
        <f>IF(B67&lt;='Вхідні данні'!$E$16,C67+D67,0)</f>
        <v>0</v>
      </c>
      <c r="F67" s="7">
        <f>IF(B67&lt;='Вхідні данні'!$E$16,F66-C67:C68,0)</f>
        <v>0</v>
      </c>
    </row>
    <row r="68" spans="2:6" hidden="1" x14ac:dyDescent="0.25">
      <c r="B68" s="6">
        <v>58</v>
      </c>
      <c r="C68" s="7">
        <f>IF(F$8&gt;0%,IF(B68&lt;='Вхідні данні'!$E$16,IF(B68&lt;'Вхідні данні'!$E$16,-PPMT('Вхідні данні'!$C$28/12,B68,'Вхідні данні'!$E$16-1,'Вхідні данні'!$C$22-'Вхідні данні'!$C$14*'Вхідні данні'!$C$29,0),IF(B68='Вхідні данні'!$E$16,'Вхідні данні'!$C$14*'Вхідні данні'!$C$29,0)),0),0)</f>
        <v>0</v>
      </c>
      <c r="D68" s="7">
        <f>IF(B68&lt;='Вхідні данні'!$E$16,F67*'Вхідні данні'!$C$26/12,0)</f>
        <v>0</v>
      </c>
      <c r="E68" s="8">
        <f>IF(B68&lt;='Вхідні данні'!$E$16,C68+D68,0)</f>
        <v>0</v>
      </c>
      <c r="F68" s="7">
        <f>IF(B68&lt;='Вхідні данні'!$E$16,F67-C68:C69,0)</f>
        <v>0</v>
      </c>
    </row>
    <row r="69" spans="2:6" hidden="1" x14ac:dyDescent="0.25">
      <c r="B69" s="6">
        <v>59</v>
      </c>
      <c r="C69" s="7">
        <f>IF(F$8&gt;0%,IF(B69&lt;='Вхідні данні'!$E$16,IF(B69&lt;'Вхідні данні'!$E$16,-PPMT('Вхідні данні'!$C$28/12,B69,'Вхідні данні'!$E$16-1,'Вхідні данні'!$C$22-'Вхідні данні'!$C$14*'Вхідні данні'!$C$29,0),IF(B69='Вхідні данні'!$E$16,'Вхідні данні'!$C$14*'Вхідні данні'!$C$29,0)),0),0)</f>
        <v>0</v>
      </c>
      <c r="D69" s="7">
        <f>IF(B69&lt;='Вхідні данні'!$E$16,F68*'Вхідні данні'!$C$26/12,0)</f>
        <v>0</v>
      </c>
      <c r="E69" s="8">
        <f>IF(B69&lt;='Вхідні данні'!$E$16,C69+D69,0)</f>
        <v>0</v>
      </c>
      <c r="F69" s="7">
        <f>IF(B69&lt;='Вхідні данні'!$E$16,F68-C69:C70,0)</f>
        <v>0</v>
      </c>
    </row>
    <row r="70" spans="2:6" hidden="1" x14ac:dyDescent="0.25">
      <c r="B70" s="6">
        <v>60</v>
      </c>
      <c r="C70" s="7">
        <f>IF(F$8&gt;0%,IF(B70&lt;='Вхідні данні'!$E$16,IF(B70&lt;'Вхідні данні'!$E$16,-PPMT('Вхідні данні'!$C$28/12,B70,'Вхідні данні'!$E$16-1,'Вхідні данні'!$C$22-'Вхідні данні'!$C$14*'Вхідні данні'!$C$29,0),IF(B70='Вхідні данні'!$E$16,'Вхідні данні'!$C$14*'Вхідні данні'!$C$29,0)),0),0)</f>
        <v>0</v>
      </c>
      <c r="D70" s="7">
        <f>IF(B70&lt;='Вхідні данні'!$E$16,F69*'Вхідні данні'!$C$26/12,0)</f>
        <v>0</v>
      </c>
      <c r="E70" s="8">
        <f>IF(B70&lt;='Вхідні данні'!$E$16,C70+D70,0)</f>
        <v>0</v>
      </c>
      <c r="F70" s="7">
        <f>IF(B70&lt;='Вхідні данні'!$E$16,F69-C70:C71,0)</f>
        <v>0</v>
      </c>
    </row>
    <row r="71" spans="2:6" hidden="1" x14ac:dyDescent="0.25">
      <c r="B71" s="6">
        <v>61</v>
      </c>
      <c r="C71" s="7">
        <f>IF(F$8&gt;0%,IF(B71&lt;='Вхідні данні'!$E$16,IF(B71&lt;'Вхідні данні'!$E$16,-PPMT('Вхідні данні'!$C$28/12,B71,'Вхідні данні'!$E$16-1,'Вхідні данні'!$C$22-'Вхідні данні'!$C$14*'Вхідні данні'!$C$29,0),IF(B71='Вхідні данні'!$E$16,'Вхідні данні'!$C$14*'Вхідні данні'!$C$29,0)),0),0)</f>
        <v>0</v>
      </c>
      <c r="D71" s="7">
        <f>IF(B71&lt;='Вхідні данні'!$E$16,F70*'Вхідні данні'!$C$26/12,0)</f>
        <v>0</v>
      </c>
      <c r="E71" s="8">
        <f>IF(B71&lt;='Вхідні данні'!$E$16,C71+D71,0)</f>
        <v>0</v>
      </c>
      <c r="F71" s="7">
        <f>IF(B71&lt;='Вхідні данні'!$E$16,F70-C71:C72,0)</f>
        <v>0</v>
      </c>
    </row>
    <row r="72" spans="2:6" hidden="1" x14ac:dyDescent="0.25">
      <c r="B72" s="6">
        <v>62</v>
      </c>
      <c r="C72" s="7">
        <f>IF(F$8&gt;0%,IF(B72&lt;='Вхідні данні'!$E$16,IF(B72&lt;'Вхідні данні'!$E$16,-PPMT('Вхідні данні'!$C$28/12,B72,'Вхідні данні'!$E$16-1,'Вхідні данні'!$C$22-'Вхідні данні'!$C$14*'Вхідні данні'!$C$29,0),IF(B72='Вхідні данні'!$E$16,'Вхідні данні'!$C$14*'Вхідні данні'!$C$29,0)),0),0)</f>
        <v>0</v>
      </c>
      <c r="D72" s="7">
        <f>IF(B72&lt;='Вхідні данні'!$E$16,F71*'Вхідні данні'!$C$26/12,0)</f>
        <v>0</v>
      </c>
      <c r="E72" s="8">
        <f>IF(B72&lt;='Вхідні данні'!$E$16,C72+D72,0)</f>
        <v>0</v>
      </c>
      <c r="F72" s="7">
        <f>IF(B72&lt;='Вхідні данні'!$E$16,F71-C72:C73,0)</f>
        <v>0</v>
      </c>
    </row>
    <row r="73" spans="2:6" hidden="1" x14ac:dyDescent="0.25">
      <c r="B73" s="6">
        <v>63</v>
      </c>
      <c r="C73" s="7">
        <f>IF(F$8&gt;0%,IF(B73&lt;='Вхідні данні'!$E$16,IF(B73&lt;'Вхідні данні'!$E$16,-PPMT('Вхідні данні'!$C$28/12,B73,'Вхідні данні'!$E$16-1,'Вхідні данні'!$C$22-'Вхідні данні'!$C$14*'Вхідні данні'!$C$29,0),IF(B73='Вхідні данні'!$E$16,'Вхідні данні'!$C$14*'Вхідні данні'!$C$29,0)),0),0)</f>
        <v>0</v>
      </c>
      <c r="D73" s="7">
        <f>IF(B73&lt;='Вхідні данні'!$E$16,F72*'Вхідні данні'!$C$26/12,0)</f>
        <v>0</v>
      </c>
      <c r="E73" s="8">
        <f>IF(B73&lt;='Вхідні данні'!$E$16,C73+D73,0)</f>
        <v>0</v>
      </c>
      <c r="F73" s="7">
        <f>IF(B73&lt;='Вхідні данні'!$E$16,F72-C73:C74,0)</f>
        <v>0</v>
      </c>
    </row>
    <row r="74" spans="2:6" hidden="1" x14ac:dyDescent="0.25">
      <c r="B74" s="6">
        <v>64</v>
      </c>
      <c r="C74" s="7">
        <f>IF(F$8&gt;0%,IF(B74&lt;='Вхідні данні'!$E$16,IF(B74&lt;'Вхідні данні'!$E$16,-PPMT('Вхідні данні'!$C$28/12,B74,'Вхідні данні'!$E$16-1,'Вхідні данні'!$C$22-'Вхідні данні'!$C$14*'Вхідні данні'!$C$29,0),IF(B74='Вхідні данні'!$E$16,'Вхідні данні'!$C$14*'Вхідні данні'!$C$29,0)),0),0)</f>
        <v>0</v>
      </c>
      <c r="D74" s="7">
        <f>IF(B74&lt;='Вхідні данні'!$E$16,F73*'Вхідні данні'!$C$26/12,0)</f>
        <v>0</v>
      </c>
      <c r="E74" s="8">
        <f>IF(B74&lt;='Вхідні данні'!$E$16,C74+D74,0)</f>
        <v>0</v>
      </c>
      <c r="F74" s="7">
        <f>IF(B74&lt;='Вхідні данні'!$E$16,F73-C74:C75,0)</f>
        <v>0</v>
      </c>
    </row>
    <row r="75" spans="2:6" hidden="1" x14ac:dyDescent="0.25">
      <c r="B75" s="6">
        <v>65</v>
      </c>
      <c r="C75" s="7">
        <f>IF(F$8&gt;0%,IF(B75&lt;='Вхідні данні'!$E$16,IF(B75&lt;'Вхідні данні'!$E$16,-PPMT('Вхідні данні'!$C$28/12,B75,'Вхідні данні'!$E$16-1,'Вхідні данні'!$C$22-'Вхідні данні'!$C$14*'Вхідні данні'!$C$29,0),IF(B75='Вхідні данні'!$E$16,'Вхідні данні'!$C$14*'Вхідні данні'!$C$29,0)),0),0)</f>
        <v>0</v>
      </c>
      <c r="D75" s="7">
        <f>IF(B75&lt;='Вхідні данні'!$E$16,F74*'Вхідні данні'!$C$26/12,0)</f>
        <v>0</v>
      </c>
      <c r="E75" s="8">
        <f>IF(B75&lt;='Вхідні данні'!$E$16,C75+D75,0)</f>
        <v>0</v>
      </c>
      <c r="F75" s="7">
        <f>IF(B75&lt;='Вхідні данні'!$E$16,F74-C75:C76,0)</f>
        <v>0</v>
      </c>
    </row>
    <row r="76" spans="2:6" hidden="1" x14ac:dyDescent="0.25">
      <c r="B76" s="6">
        <v>66</v>
      </c>
      <c r="C76" s="7">
        <f>IF(F$8&gt;0%,IF(B76&lt;='Вхідні данні'!$E$16,IF(B76&lt;'Вхідні данні'!$E$16,-PPMT('Вхідні данні'!$C$28/12,B76,'Вхідні данні'!$E$16-1,'Вхідні данні'!$C$22-'Вхідні данні'!$C$14*'Вхідні данні'!$C$29,0),IF(B76='Вхідні данні'!$E$16,'Вхідні данні'!$C$14*'Вхідні данні'!$C$29,0)),0),0)</f>
        <v>0</v>
      </c>
      <c r="D76" s="7">
        <f>IF(B76&lt;='Вхідні данні'!$E$16,F75*'Вхідні данні'!$C$26/12,0)</f>
        <v>0</v>
      </c>
      <c r="E76" s="8">
        <f>IF(B76&lt;='Вхідні данні'!$E$16,C76+D76,0)</f>
        <v>0</v>
      </c>
      <c r="F76" s="7">
        <f>IF(B76&lt;='Вхідні данні'!$E$16,F75-C76:C77,0)</f>
        <v>0</v>
      </c>
    </row>
    <row r="77" spans="2:6" hidden="1" x14ac:dyDescent="0.25">
      <c r="B77" s="6">
        <v>67</v>
      </c>
      <c r="C77" s="7">
        <f>IF(F$8&gt;0%,IF(B77&lt;='Вхідні данні'!$E$16,IF(B77&lt;'Вхідні данні'!$E$16,-PPMT('Вхідні данні'!$C$28/12,B77,'Вхідні данні'!$E$16-1,'Вхідні данні'!$C$22-'Вхідні данні'!$C$14*'Вхідні данні'!$C$29,0),IF(B77='Вхідні данні'!$E$16,'Вхідні данні'!$C$14*'Вхідні данні'!$C$29,0)),0),0)</f>
        <v>0</v>
      </c>
      <c r="D77" s="7">
        <f>IF(B77&lt;='Вхідні данні'!$E$16,F76*'Вхідні данні'!$C$26/12,0)</f>
        <v>0</v>
      </c>
      <c r="E77" s="8">
        <f>IF(B77&lt;='Вхідні данні'!$E$16,C77+D77,0)</f>
        <v>0</v>
      </c>
      <c r="F77" s="7">
        <f>IF(B77&lt;='Вхідні данні'!$E$16,F76-C77:C78,0)</f>
        <v>0</v>
      </c>
    </row>
    <row r="78" spans="2:6" hidden="1" x14ac:dyDescent="0.25">
      <c r="B78" s="6">
        <v>68</v>
      </c>
      <c r="C78" s="7">
        <f>IF(F$8&gt;0%,IF(B78&lt;='Вхідні данні'!$E$16,IF(B78&lt;'Вхідні данні'!$E$16,-PPMT('Вхідні данні'!$C$28/12,B78,'Вхідні данні'!$E$16-1,'Вхідні данні'!$C$22-'Вхідні данні'!$C$14*'Вхідні данні'!$C$29,0),IF(B78='Вхідні данні'!$E$16,'Вхідні данні'!$C$14*'Вхідні данні'!$C$29,0)),0),0)</f>
        <v>0</v>
      </c>
      <c r="D78" s="7">
        <f>IF(B78&lt;='Вхідні данні'!$E$16,F77*'Вхідні данні'!$C$26/12,0)</f>
        <v>0</v>
      </c>
      <c r="E78" s="8">
        <f>IF(B78&lt;='Вхідні данні'!$E$16,C78+D78,0)</f>
        <v>0</v>
      </c>
      <c r="F78" s="7">
        <f>IF(B78&lt;='Вхідні данні'!$E$16,F77-C78:C79,0)</f>
        <v>0</v>
      </c>
    </row>
    <row r="79" spans="2:6" hidden="1" x14ac:dyDescent="0.25">
      <c r="B79" s="6">
        <v>69</v>
      </c>
      <c r="C79" s="7">
        <f>IF(F$8&gt;0%,IF(B79&lt;='Вхідні данні'!$E$16,IF(B79&lt;'Вхідні данні'!$E$16,-PPMT('Вхідні данні'!$C$28/12,B79,'Вхідні данні'!$E$16-1,'Вхідні данні'!$C$22-'Вхідні данні'!$C$14*'Вхідні данні'!$C$29,0),IF(B79='Вхідні данні'!$E$16,'Вхідні данні'!$C$14*'Вхідні данні'!$C$29,0)),0),0)</f>
        <v>0</v>
      </c>
      <c r="D79" s="7">
        <f>IF(B79&lt;='Вхідні данні'!$E$16,F78*'Вхідні данні'!$C$26/12,0)</f>
        <v>0</v>
      </c>
      <c r="E79" s="8">
        <f>IF(B79&lt;='Вхідні данні'!$E$16,C79+D79,0)</f>
        <v>0</v>
      </c>
      <c r="F79" s="7">
        <f>IF(B79&lt;='Вхідні данні'!$E$16,F78-C79:C80,0)</f>
        <v>0</v>
      </c>
    </row>
    <row r="80" spans="2:6" hidden="1" x14ac:dyDescent="0.25">
      <c r="B80" s="6">
        <v>70</v>
      </c>
      <c r="C80" s="7">
        <f>IF(F$8&gt;0%,IF(B80&lt;='Вхідні данні'!$E$16,IF(B80&lt;'Вхідні данні'!$E$16,-PPMT('Вхідні данні'!$C$28/12,B80,'Вхідні данні'!$E$16-1,'Вхідні данні'!$C$22-'Вхідні данні'!$C$14*'Вхідні данні'!$C$29,0),IF(B80='Вхідні данні'!$E$16,'Вхідні данні'!$C$14*'Вхідні данні'!$C$29,0)),0),0)</f>
        <v>0</v>
      </c>
      <c r="D80" s="7">
        <f>IF(B80&lt;='Вхідні данні'!$E$16,F79*'Вхідні данні'!$C$26/12,0)</f>
        <v>0</v>
      </c>
      <c r="E80" s="8">
        <f>IF(B80&lt;='Вхідні данні'!$E$16,C80+D80,0)</f>
        <v>0</v>
      </c>
      <c r="F80" s="7">
        <f>IF(B80&lt;='Вхідні данні'!$E$16,F79-C80:C81,0)</f>
        <v>0</v>
      </c>
    </row>
    <row r="81" spans="2:6" hidden="1" x14ac:dyDescent="0.25">
      <c r="B81" s="6">
        <v>71</v>
      </c>
      <c r="C81" s="7">
        <f>IF(F$8&gt;0%,IF(B81&lt;='Вхідні данні'!$E$16,IF(B81&lt;'Вхідні данні'!$E$16,-PPMT('Вхідні данні'!$C$28/12,B81,'Вхідні данні'!$E$16-1,'Вхідні данні'!$C$22-'Вхідні данні'!$C$14*'Вхідні данні'!$C$29,0),IF(B81='Вхідні данні'!$E$16,'Вхідні данні'!$C$14*'Вхідні данні'!$C$29,0)),0),0)</f>
        <v>0</v>
      </c>
      <c r="D81" s="7">
        <f>IF(B81&lt;='Вхідні данні'!$E$16,F80*'Вхідні данні'!$C$26/12,0)</f>
        <v>0</v>
      </c>
      <c r="E81" s="8">
        <f>IF(B81&lt;='Вхідні данні'!$E$16,C81+D81,0)</f>
        <v>0</v>
      </c>
      <c r="F81" s="7">
        <f>IF(B81&lt;='Вхідні данні'!$E$16,F80-C81:C82,0)</f>
        <v>0</v>
      </c>
    </row>
    <row r="82" spans="2:6" hidden="1" x14ac:dyDescent="0.25">
      <c r="B82" s="6">
        <v>72</v>
      </c>
      <c r="C82" s="7">
        <f>IF(F$8&gt;0%,IF(B82&lt;='Вхідні данні'!$E$16,IF(B82&lt;'Вхідні данні'!$E$16,-PPMT('Вхідні данні'!$C$28/12,B82,'Вхідні данні'!$E$16-1,'Вхідні данні'!$C$22-'Вхідні данні'!$C$14*'Вхідні данні'!$C$29,0),IF(B82='Вхідні данні'!$E$16,'Вхідні данні'!$C$14*'Вхідні данні'!$C$29,0)),0),0)</f>
        <v>0</v>
      </c>
      <c r="D82" s="7">
        <f>IF(B82&lt;='Вхідні данні'!$E$16,F81*'Вхідні данні'!$C$26/12,0)</f>
        <v>0</v>
      </c>
      <c r="E82" s="8">
        <f>IF(B82&lt;='Вхідні данні'!$E$16,C82+D82,0)</f>
        <v>0</v>
      </c>
      <c r="F82" s="7">
        <f>IF(B82&lt;='Вхідні данні'!$E$16,F81-C82:C83,0)</f>
        <v>0</v>
      </c>
    </row>
    <row r="83" spans="2:6" hidden="1" x14ac:dyDescent="0.25">
      <c r="B83" s="6">
        <v>73</v>
      </c>
      <c r="C83" s="7">
        <f>IF(F$8&gt;0%,IF(B83&lt;='Вхідні данні'!$E$16,IF(B83&lt;'Вхідні данні'!$E$16,-PPMT('Вхідні данні'!$C$28/12,B83,'Вхідні данні'!$E$16-1,'Вхідні данні'!$C$22-'Вхідні данні'!$C$14*'Вхідні данні'!$C$29,0),IF(B83='Вхідні данні'!$E$16,'Вхідні данні'!$C$14*'Вхідні данні'!$C$29,0)),0),0)</f>
        <v>0</v>
      </c>
      <c r="D83" s="7">
        <f>IF(B83&lt;='Вхідні данні'!$E$16,F82*'Вхідні данні'!$C$26/12,0)</f>
        <v>0</v>
      </c>
      <c r="E83" s="8">
        <f>IF(B83&lt;='Вхідні данні'!$E$16,C83+D83,0)</f>
        <v>0</v>
      </c>
      <c r="F83" s="7">
        <f>IF(B83&lt;='Вхідні данні'!$E$16,F82-C83:C84,0)</f>
        <v>0</v>
      </c>
    </row>
    <row r="84" spans="2:6" hidden="1" x14ac:dyDescent="0.25">
      <c r="B84" s="6">
        <v>74</v>
      </c>
      <c r="C84" s="7">
        <f>IF(F$8&gt;0%,IF(B84&lt;='Вхідні данні'!$E$16,IF(B84&lt;'Вхідні данні'!$E$16,-PPMT('Вхідні данні'!$C$28/12,B84,'Вхідні данні'!$E$16-1,'Вхідні данні'!$C$22-'Вхідні данні'!$C$14*'Вхідні данні'!$C$29,0),IF(B84='Вхідні данні'!$E$16,'Вхідні данні'!$C$14*'Вхідні данні'!$C$29,0)),0),0)</f>
        <v>0</v>
      </c>
      <c r="D84" s="7">
        <f>IF(B84&lt;='Вхідні данні'!$E$16,F83*'Вхідні данні'!$C$26/12,0)</f>
        <v>0</v>
      </c>
      <c r="E84" s="8">
        <f>IF(B84&lt;='Вхідні данні'!$E$16,C84+D84,0)</f>
        <v>0</v>
      </c>
      <c r="F84" s="7">
        <f>IF(B84&lt;='Вхідні данні'!$E$16,F83-C84:C85,0)</f>
        <v>0</v>
      </c>
    </row>
    <row r="85" spans="2:6" hidden="1" x14ac:dyDescent="0.25">
      <c r="B85" s="6">
        <v>75</v>
      </c>
      <c r="C85" s="7">
        <f>IF(F$8&gt;0%,IF(B85&lt;='Вхідні данні'!$E$16,IF(B85&lt;'Вхідні данні'!$E$16,-PPMT('Вхідні данні'!$C$28/12,B85,'Вхідні данні'!$E$16-1,'Вхідні данні'!$C$22-'Вхідні данні'!$C$14*'Вхідні данні'!$C$29,0),IF(B85='Вхідні данні'!$E$16,'Вхідні данні'!$C$14*'Вхідні данні'!$C$29,0)),0),0)</f>
        <v>0</v>
      </c>
      <c r="D85" s="7">
        <f>IF(B85&lt;='Вхідні данні'!$E$16,F84*'Вхідні данні'!$C$26/12,0)</f>
        <v>0</v>
      </c>
      <c r="E85" s="8">
        <f>IF(B85&lt;='Вхідні данні'!$E$16,C85+D85,0)</f>
        <v>0</v>
      </c>
      <c r="F85" s="7">
        <f>IF(B85&lt;='Вхідні данні'!$E$16,F84-C85:C86,0)</f>
        <v>0</v>
      </c>
    </row>
    <row r="86" spans="2:6" hidden="1" x14ac:dyDescent="0.25">
      <c r="B86" s="6">
        <v>76</v>
      </c>
      <c r="C86" s="7">
        <f>IF(F$8&gt;0%,IF(B86&lt;='Вхідні данні'!$E$16,IF(B86&lt;'Вхідні данні'!$E$16,-PPMT('Вхідні данні'!$C$28/12,B86,'Вхідні данні'!$E$16-1,'Вхідні данні'!$C$22-'Вхідні данні'!$C$14*'Вхідні данні'!$C$29,0),IF(B86='Вхідні данні'!$E$16,'Вхідні данні'!$C$14*'Вхідні данні'!$C$29,0)),0),0)</f>
        <v>0</v>
      </c>
      <c r="D86" s="7">
        <f>IF(B86&lt;='Вхідні данні'!$E$16,F85*'Вхідні данні'!$C$26/12,0)</f>
        <v>0</v>
      </c>
      <c r="E86" s="8">
        <f>IF(B86&lt;='Вхідні данні'!$E$16,C86+D86,0)</f>
        <v>0</v>
      </c>
      <c r="F86" s="7">
        <f>IF(B86&lt;='Вхідні данні'!$E$16,F85-C86:C87,0)</f>
        <v>0</v>
      </c>
    </row>
    <row r="87" spans="2:6" hidden="1" x14ac:dyDescent="0.25">
      <c r="B87" s="6">
        <v>77</v>
      </c>
      <c r="C87" s="7">
        <f>IF(F$8&gt;0%,IF(B87&lt;='Вхідні данні'!$E$16,IF(B87&lt;'Вхідні данні'!$E$16,-PPMT('Вхідні данні'!$C$28/12,B87,'Вхідні данні'!$E$16-1,'Вхідні данні'!$C$22-'Вхідні данні'!$C$14*'Вхідні данні'!$C$29,0),IF(B87='Вхідні данні'!$E$16,'Вхідні данні'!$C$14*'Вхідні данні'!$C$29,0)),0),0)</f>
        <v>0</v>
      </c>
      <c r="D87" s="7">
        <f>IF(B87&lt;='Вхідні данні'!$E$16,F86*'Вхідні данні'!$C$26/12,0)</f>
        <v>0</v>
      </c>
      <c r="E87" s="8">
        <f>IF(B87&lt;='Вхідні данні'!$E$16,C87+D87,0)</f>
        <v>0</v>
      </c>
      <c r="F87" s="7">
        <f>IF(B87&lt;='Вхідні данні'!$E$16,F86-C87:C88,0)</f>
        <v>0</v>
      </c>
    </row>
    <row r="88" spans="2:6" hidden="1" x14ac:dyDescent="0.25">
      <c r="B88" s="6">
        <v>78</v>
      </c>
      <c r="C88" s="7">
        <f>IF(F$8&gt;0%,IF(B88&lt;='Вхідні данні'!$E$16,IF(B88&lt;'Вхідні данні'!$E$16,-PPMT('Вхідні данні'!$C$28/12,B88,'Вхідні данні'!$E$16-1,'Вхідні данні'!$C$22-'Вхідні данні'!$C$14*'Вхідні данні'!$C$29,0),IF(B88='Вхідні данні'!$E$16,'Вхідні данні'!$C$14*'Вхідні данні'!$C$29,0)),0),0)</f>
        <v>0</v>
      </c>
      <c r="D88" s="7">
        <f>IF(B88&lt;='Вхідні данні'!$E$16,F87*'Вхідні данні'!$C$26/12,0)</f>
        <v>0</v>
      </c>
      <c r="E88" s="8">
        <f>IF(B88&lt;='Вхідні данні'!$E$16,C88+D88,0)</f>
        <v>0</v>
      </c>
      <c r="F88" s="7">
        <f>IF(B88&lt;='Вхідні данні'!$E$16,F87-C88:C89,0)</f>
        <v>0</v>
      </c>
    </row>
    <row r="89" spans="2:6" hidden="1" x14ac:dyDescent="0.25">
      <c r="B89" s="6">
        <v>79</v>
      </c>
      <c r="C89" s="7">
        <f>IF(F$8&gt;0%,IF(B89&lt;='Вхідні данні'!$E$16,IF(B89&lt;'Вхідні данні'!$E$16,-PPMT('Вхідні данні'!$C$28/12,B89,'Вхідні данні'!$E$16-1,'Вхідні данні'!$C$22-'Вхідні данні'!$C$14*'Вхідні данні'!$C$29,0),IF(B89='Вхідні данні'!$E$16,'Вхідні данні'!$C$14*'Вхідні данні'!$C$29,0)),0),0)</f>
        <v>0</v>
      </c>
      <c r="D89" s="7">
        <f>IF(B89&lt;='Вхідні данні'!$E$16,F88*'Вхідні данні'!$C$26/12,0)</f>
        <v>0</v>
      </c>
      <c r="E89" s="8">
        <f>IF(B89&lt;='Вхідні данні'!$E$16,C89+D89,0)</f>
        <v>0</v>
      </c>
      <c r="F89" s="7">
        <f>IF(B89&lt;='Вхідні данні'!$E$16,F88-C89:C90,0)</f>
        <v>0</v>
      </c>
    </row>
    <row r="90" spans="2:6" hidden="1" x14ac:dyDescent="0.25">
      <c r="B90" s="6">
        <v>80</v>
      </c>
      <c r="C90" s="7">
        <f>IF(F$8&gt;0%,IF(B90&lt;='Вхідні данні'!$E$16,IF(B90&lt;'Вхідні данні'!$E$16,-PPMT('Вхідні данні'!$C$28/12,B90,'Вхідні данні'!$E$16-1,'Вхідні данні'!$C$22-'Вхідні данні'!$C$14*'Вхідні данні'!$C$29,0),IF(B90='Вхідні данні'!$E$16,'Вхідні данні'!$C$14*'Вхідні данні'!$C$29,0)),0),0)</f>
        <v>0</v>
      </c>
      <c r="D90" s="7">
        <f>IF(B90&lt;='Вхідні данні'!$E$16,F89*'Вхідні данні'!$C$26/12,0)</f>
        <v>0</v>
      </c>
      <c r="E90" s="8">
        <f>IF(B90&lt;='Вхідні данні'!$E$16,C90+D90,0)</f>
        <v>0</v>
      </c>
      <c r="F90" s="7">
        <f>IF(B90&lt;='Вхідні данні'!$E$16,F89-C90:C91,0)</f>
        <v>0</v>
      </c>
    </row>
    <row r="91" spans="2:6" hidden="1" x14ac:dyDescent="0.25">
      <c r="B91" s="6">
        <v>81</v>
      </c>
      <c r="C91" s="7">
        <f>IF(F$8&gt;0%,IF(B91&lt;='Вхідні данні'!$E$16,IF(B91&lt;'Вхідні данні'!$E$16,-PPMT('Вхідні данні'!$C$28/12,B91,'Вхідні данні'!$E$16-1,'Вхідні данні'!$C$22-'Вхідні данні'!$C$14*'Вхідні данні'!$C$29,0),IF(B91='Вхідні данні'!$E$16,'Вхідні данні'!$C$14*'Вхідні данні'!$C$29,0)),0),0)</f>
        <v>0</v>
      </c>
      <c r="D91" s="7">
        <f>IF(B91&lt;='Вхідні данні'!$E$16,F90*'Вхідні данні'!$C$26/12,0)</f>
        <v>0</v>
      </c>
      <c r="E91" s="8">
        <f>IF(B91&lt;='Вхідні данні'!$E$16,C91+D91,0)</f>
        <v>0</v>
      </c>
      <c r="F91" s="7">
        <f>IF(B91&lt;='Вхідні данні'!$E$16,F90-C91:C92,0)</f>
        <v>0</v>
      </c>
    </row>
    <row r="92" spans="2:6" hidden="1" x14ac:dyDescent="0.25">
      <c r="B92" s="6">
        <v>82</v>
      </c>
      <c r="C92" s="7">
        <f>IF(F$8&gt;0%,IF(B92&lt;='Вхідні данні'!$E$16,IF(B92&lt;'Вхідні данні'!$E$16,-PPMT('Вхідні данні'!$C$28/12,B92,'Вхідні данні'!$E$16-1,'Вхідні данні'!$C$22-'Вхідні данні'!$C$14*'Вхідні данні'!$C$29,0),IF(B92='Вхідні данні'!$E$16,'Вхідні данні'!$C$14*'Вхідні данні'!$C$29,0)),0),0)</f>
        <v>0</v>
      </c>
      <c r="D92" s="7">
        <f>IF(B92&lt;='Вхідні данні'!$E$16,F91*'Вхідні данні'!$C$26/12,0)</f>
        <v>0</v>
      </c>
      <c r="E92" s="8">
        <f>IF(B92&lt;='Вхідні данні'!$E$16,C92+D92,0)</f>
        <v>0</v>
      </c>
      <c r="F92" s="7">
        <f>IF(B92&lt;='Вхідні данні'!$E$16,F91-C92:C93,0)</f>
        <v>0</v>
      </c>
    </row>
    <row r="93" spans="2:6" hidden="1" x14ac:dyDescent="0.25">
      <c r="B93" s="6">
        <v>83</v>
      </c>
      <c r="C93" s="7">
        <f>IF(F$8&gt;0%,IF(B93&lt;='Вхідні данні'!$E$16,IF(B93&lt;'Вхідні данні'!$E$16,-PPMT('Вхідні данні'!$C$28/12,B93,'Вхідні данні'!$E$16-1,'Вхідні данні'!$C$22-'Вхідні данні'!$C$14*'Вхідні данні'!$C$29,0),IF(B93='Вхідні данні'!$E$16,'Вхідні данні'!$C$14*'Вхідні данні'!$C$29,0)),0),0)</f>
        <v>0</v>
      </c>
      <c r="D93" s="7">
        <f>IF(B93&lt;='Вхідні данні'!$E$16,F92*'Вхідні данні'!$C$26/12,0)</f>
        <v>0</v>
      </c>
      <c r="E93" s="8">
        <f>IF(B93&lt;='Вхідні данні'!$E$16,C93+D93,0)</f>
        <v>0</v>
      </c>
      <c r="F93" s="7">
        <f>IF(B93&lt;='Вхідні данні'!$E$16,F92-C93:C94,0)</f>
        <v>0</v>
      </c>
    </row>
    <row r="94" spans="2:6" hidden="1" x14ac:dyDescent="0.25">
      <c r="B94" s="6">
        <v>84</v>
      </c>
      <c r="C94" s="7">
        <f>IF(F$8&gt;0%,IF(B94&lt;='Вхідні данні'!$E$16,IF(B94&lt;'Вхідні данні'!$E$16,-PPMT('Вхідні данні'!$C$28/12,B94,'Вхідні данні'!$E$16-1,'Вхідні данні'!$C$22-'Вхідні данні'!$C$14*'Вхідні данні'!$C$29,0),IF(B94='Вхідні данні'!$E$16,'Вхідні данні'!$C$14*'Вхідні данні'!$C$29,0)),0),0)</f>
        <v>0</v>
      </c>
      <c r="D94" s="7">
        <f>IF(B94&lt;='Вхідні данні'!$E$16,F93*'Вхідні данні'!$C$26/12,0)</f>
        <v>0</v>
      </c>
      <c r="E94" s="8">
        <f>IF(B94&lt;='Вхідні данні'!$E$16,C94+D94,0)</f>
        <v>0</v>
      </c>
      <c r="F94" s="7">
        <f>IF(B94&lt;='Вхідні данні'!$E$16,F93-C94:C95,0)</f>
        <v>0</v>
      </c>
    </row>
    <row r="95" spans="2:6" x14ac:dyDescent="0.25">
      <c r="B95" s="9" t="s">
        <v>13</v>
      </c>
      <c r="C95" s="10">
        <f>SUM(C11:C94)</f>
        <v>505048.50500000006</v>
      </c>
      <c r="D95" s="11">
        <f>SUM(D11:D94)</f>
        <v>122078.01832778611</v>
      </c>
    </row>
    <row r="96" spans="2:6" x14ac:dyDescent="0.25"/>
  </sheetData>
  <sheetProtection algorithmName="SHA-512" hashValue="9aPd4+MqgRgMZvcrzcicIO6nHe9UbLA8AgUbAIf2H9uAGV/ZViA11qKLcEetcew9NhHRjTKqrIYmJN/Rwg/3rw==" saltValue="xzXWH+fVTlLpESvYD9Kuug==" spinCount="100000" sheet="1" objects="1" scenarios="1"/>
  <mergeCells count="1">
    <mergeCell ref="B7:E8"/>
  </mergeCells>
  <conditionalFormatting sqref="C11:F94">
    <cfRule type="cellIs" dxfId="0" priority="1" operator="equal">
      <formula>0</formula>
    </cfRule>
  </conditionalFormatting>
  <pageMargins left="0.25" right="0.25" top="0.75" bottom="0.75" header="0.3" footer="0.3"/>
  <pageSetup paperSize="9" scale="83" fitToHeight="0" orientation="portrait" r:id="rId1"/>
  <rowBreaks count="1" manualBreakCount="1">
    <brk id="57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zoomScaleNormal="100" workbookViewId="0">
      <selection activeCell="E8" sqref="E8"/>
    </sheetView>
  </sheetViews>
  <sheetFormatPr defaultColWidth="0" defaultRowHeight="15" zeroHeight="1" x14ac:dyDescent="0.25"/>
  <cols>
    <col min="1" max="1" width="9.140625" style="22" customWidth="1"/>
    <col min="2" max="2" width="51" style="22" customWidth="1"/>
    <col min="3" max="4" width="42.28515625" style="22" customWidth="1"/>
    <col min="5" max="5" width="19.85546875" style="23" customWidth="1"/>
    <col min="6" max="6" width="9.140625" style="22" customWidth="1"/>
    <col min="7" max="16384" width="9.140625" style="22" hidden="1"/>
  </cols>
  <sheetData>
    <row r="1" spans="2:5" x14ac:dyDescent="0.25"/>
    <row r="2" spans="2:5" ht="15.75" x14ac:dyDescent="0.25">
      <c r="C2" s="73" t="s">
        <v>7</v>
      </c>
      <c r="D2" s="73"/>
      <c r="E2" s="26">
        <f>'Вхідні данні'!C14</f>
        <v>1000000</v>
      </c>
    </row>
    <row r="3" spans="2:5" ht="15.75" x14ac:dyDescent="0.25">
      <c r="C3" s="73" t="s">
        <v>15</v>
      </c>
      <c r="D3" s="73"/>
      <c r="E3" s="31">
        <f>'Вхідні данні'!C20/'Вхідні данні'!C14</f>
        <v>0.5</v>
      </c>
    </row>
    <row r="4" spans="2:5" ht="15.75" x14ac:dyDescent="0.25">
      <c r="C4" s="73" t="s">
        <v>72</v>
      </c>
      <c r="D4" s="73"/>
      <c r="E4" s="26">
        <f>IF(E8='Вхідні данні'!C22,'Вхідні данні'!C14-'Вхідні данні'!C20,'Вхідні данні'!C10-'Вхідні данні'!C20)</f>
        <v>500000</v>
      </c>
    </row>
    <row r="5" spans="2:5" ht="15.75" x14ac:dyDescent="0.25">
      <c r="C5" s="73" t="s">
        <v>71</v>
      </c>
      <c r="D5" s="73"/>
      <c r="E5" s="65">
        <f>'Вхідні данні'!E38</f>
        <v>0</v>
      </c>
    </row>
    <row r="6" spans="2:5" ht="15.75" x14ac:dyDescent="0.25">
      <c r="C6" s="73" t="s">
        <v>70</v>
      </c>
      <c r="D6" s="73"/>
      <c r="E6" s="65" t="str">
        <f>IF(E8='Вхідні данні'!C24,'Вхідні данні'!C36,"-")</f>
        <v>-</v>
      </c>
    </row>
    <row r="7" spans="2:5" ht="15.75" x14ac:dyDescent="0.25">
      <c r="C7" s="73" t="s">
        <v>69</v>
      </c>
      <c r="D7" s="73"/>
      <c r="E7" s="65" t="str">
        <f>IF(E8='Вхідні данні'!C24,'Вхідні данні'!C44,"-")</f>
        <v>-</v>
      </c>
    </row>
    <row r="8" spans="2:5" ht="31.15" customHeight="1" x14ac:dyDescent="0.25">
      <c r="C8" s="73" t="s">
        <v>73</v>
      </c>
      <c r="D8" s="73"/>
      <c r="E8" s="36">
        <v>480000</v>
      </c>
    </row>
    <row r="9" spans="2:5" ht="15.75" x14ac:dyDescent="0.25">
      <c r="E9" s="24"/>
    </row>
    <row r="10" spans="2:5" ht="18.75" x14ac:dyDescent="0.25">
      <c r="B10" s="25" t="s">
        <v>37</v>
      </c>
      <c r="E10" s="24"/>
    </row>
    <row r="11" spans="2:5" ht="15.75" x14ac:dyDescent="0.25">
      <c r="B11" s="29" t="s">
        <v>47</v>
      </c>
      <c r="C11" s="27">
        <f>'Вхідні данні'!C43</f>
        <v>9.9000000000000008E-3</v>
      </c>
      <c r="D11" s="30" t="s">
        <v>16</v>
      </c>
      <c r="E11" s="32" t="str">
        <f>IF('Вхідні данні'!C42="Ні",'Вхідні данні'!C44,"В кредит")</f>
        <v>В кредит</v>
      </c>
    </row>
    <row r="12" spans="2:5" ht="30" x14ac:dyDescent="0.25">
      <c r="B12" s="29" t="s">
        <v>39</v>
      </c>
      <c r="C12" s="30" t="s">
        <v>20</v>
      </c>
      <c r="D12" s="30" t="s">
        <v>17</v>
      </c>
      <c r="E12" s="32">
        <v>750</v>
      </c>
    </row>
    <row r="13" spans="2:5" ht="30" x14ac:dyDescent="0.25">
      <c r="B13" s="29" t="s">
        <v>40</v>
      </c>
      <c r="C13" s="28">
        <f>'Вхідні данні'!C39</f>
        <v>5.4899999999999997E-2</v>
      </c>
      <c r="D13" s="30" t="s">
        <v>42</v>
      </c>
      <c r="E13" s="32">
        <f>IF('Вхідні данні'!C38="Ні",'Вхідні данні'!C40,"В кредит")</f>
        <v>54900</v>
      </c>
    </row>
    <row r="14" spans="2:5" ht="30" x14ac:dyDescent="0.25">
      <c r="B14" s="29" t="s">
        <v>41</v>
      </c>
      <c r="C14" s="30" t="s">
        <v>18</v>
      </c>
      <c r="D14" s="30" t="s">
        <v>19</v>
      </c>
      <c r="E14" s="36">
        <v>746</v>
      </c>
    </row>
    <row r="15" spans="2:5" x14ac:dyDescent="0.25"/>
    <row r="16" spans="2:5" ht="18.75" x14ac:dyDescent="0.25">
      <c r="B16" s="25" t="s">
        <v>23</v>
      </c>
    </row>
    <row r="17" spans="2:5" ht="15.75" x14ac:dyDescent="0.25">
      <c r="B17" s="29" t="s">
        <v>24</v>
      </c>
      <c r="C17" s="33">
        <f>IF((E2-E2/6)&lt;=E28*165,D25,IF((E2-E2/6)&lt;=E28*290,D26,D27))</f>
        <v>0.05</v>
      </c>
      <c r="D17" s="30" t="s">
        <v>17</v>
      </c>
      <c r="E17" s="26">
        <f>(E2-E2/6)*C17</f>
        <v>41666.666666666672</v>
      </c>
    </row>
    <row r="18" spans="2:5" ht="15.75" x14ac:dyDescent="0.25">
      <c r="B18" s="29" t="s">
        <v>55</v>
      </c>
      <c r="C18" s="35" t="s">
        <v>25</v>
      </c>
      <c r="D18" s="30" t="s">
        <v>17</v>
      </c>
      <c r="E18" s="36">
        <v>3500</v>
      </c>
    </row>
    <row r="19" spans="2:5" ht="18.75" x14ac:dyDescent="0.25">
      <c r="B19" s="73" t="s">
        <v>26</v>
      </c>
      <c r="C19" s="73"/>
      <c r="D19" s="73"/>
      <c r="E19" s="44">
        <f>IF('Вхідні данні'!C42="Ні",E11,0)+E12+IF('Вхідні данні'!C38="Ні",E13,0)+E14+E17+E18</f>
        <v>101562.66666666667</v>
      </c>
    </row>
    <row r="20" spans="2:5" ht="18.75" x14ac:dyDescent="0.25">
      <c r="B20" s="73" t="s">
        <v>27</v>
      </c>
      <c r="C20" s="73"/>
      <c r="D20" s="73"/>
      <c r="E20" s="44">
        <f>E19+'Вхідні данні'!C20</f>
        <v>601562.66666666663</v>
      </c>
    </row>
    <row r="21" spans="2:5" x14ac:dyDescent="0.25"/>
    <row r="22" spans="2:5" x14ac:dyDescent="0.25"/>
    <row r="23" spans="2:5" ht="18.75" x14ac:dyDescent="0.25">
      <c r="B23" s="77" t="s">
        <v>38</v>
      </c>
      <c r="C23" s="77"/>
      <c r="D23" s="77"/>
      <c r="E23" s="77"/>
    </row>
    <row r="24" spans="2:5" x14ac:dyDescent="0.25">
      <c r="B24" s="34" t="s">
        <v>28</v>
      </c>
      <c r="C24" s="34" t="s">
        <v>29</v>
      </c>
      <c r="D24" s="78" t="s">
        <v>36</v>
      </c>
      <c r="E24" s="78"/>
    </row>
    <row r="25" spans="2:5" x14ac:dyDescent="0.25">
      <c r="B25" s="41" t="s">
        <v>30</v>
      </c>
      <c r="C25" s="41" t="str">
        <f>"до"&amp;" "&amp;E28*165&amp;" "&amp;"грн."</f>
        <v>до 409365 грн.</v>
      </c>
      <c r="D25" s="79">
        <v>0.03</v>
      </c>
      <c r="E25" s="79"/>
    </row>
    <row r="26" spans="2:5" x14ac:dyDescent="0.25">
      <c r="B26" s="41" t="s">
        <v>31</v>
      </c>
      <c r="C26" s="41" t="str">
        <f>"від"&amp;" "&amp;E28*165&amp;" "&amp;"грн."&amp;" "&amp;"до"&amp;" "&amp;E28*290&amp;" "&amp;"грн."</f>
        <v>від 409365 грн. до 719490 грн.</v>
      </c>
      <c r="D26" s="79">
        <v>0.04</v>
      </c>
      <c r="E26" s="79"/>
    </row>
    <row r="27" spans="2:5" x14ac:dyDescent="0.25">
      <c r="B27" s="41" t="s">
        <v>32</v>
      </c>
      <c r="C27" s="41" t="str">
        <f>"вище"&amp;" "&amp;E28*290&amp;" "&amp;"грн."</f>
        <v>вище 719490 грн.</v>
      </c>
      <c r="D27" s="79">
        <v>0.05</v>
      </c>
      <c r="E27" s="79"/>
    </row>
    <row r="28" spans="2:5" ht="15.75" x14ac:dyDescent="0.25">
      <c r="B28" s="73" t="s">
        <v>33</v>
      </c>
      <c r="C28" s="73"/>
      <c r="D28" s="73"/>
      <c r="E28" s="36">
        <v>2481</v>
      </c>
    </row>
    <row r="29" spans="2:5" x14ac:dyDescent="0.25">
      <c r="B29" s="74" t="s">
        <v>34</v>
      </c>
      <c r="C29" s="74"/>
      <c r="D29" s="75" t="s">
        <v>35</v>
      </c>
      <c r="E29" s="76"/>
    </row>
    <row r="30" spans="2:5" x14ac:dyDescent="0.25"/>
  </sheetData>
  <sheetProtection algorithmName="SHA-512" hashValue="H26DsydVAsvyhmHGODmsSgLtiiopV9fCnx15PmONzK3k6sul0jV4whaj7YvR3pYpdjf+lEnY/JlxbG/1H4kZDA==" saltValue="vFTSx0rFV43HlbHrB9jY5w==" spinCount="100000" sheet="1" objects="1" scenarios="1"/>
  <mergeCells count="17">
    <mergeCell ref="B28:D28"/>
    <mergeCell ref="B29:C29"/>
    <mergeCell ref="D29:E29"/>
    <mergeCell ref="B19:D19"/>
    <mergeCell ref="B20:D20"/>
    <mergeCell ref="B23:E23"/>
    <mergeCell ref="D24:E24"/>
    <mergeCell ref="D25:E25"/>
    <mergeCell ref="D26:E26"/>
    <mergeCell ref="D27:E27"/>
    <mergeCell ref="C8:D8"/>
    <mergeCell ref="C2:D2"/>
    <mergeCell ref="C3:D3"/>
    <mergeCell ref="C4:D4"/>
    <mergeCell ref="C5:D5"/>
    <mergeCell ref="C6:D6"/>
    <mergeCell ref="C7:D7"/>
  </mergeCells>
  <hyperlinks>
    <hyperlink ref="D29" r:id="rId1"/>
  </hyperlinks>
  <pageMargins left="0.7" right="0.7" top="0.75" bottom="0.75" header="0.3" footer="0.3"/>
  <pageSetup paperSize="9" scale="75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'Вхідні данні'!$C$22:$C$24</xm:f>
          </x14:formula1>
          <xm:sqref>E8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Вхідні данні</vt:lpstr>
      <vt:lpstr>Графік погашення стандартний</vt:lpstr>
      <vt:lpstr>Графік погашення Multistep</vt:lpstr>
      <vt:lpstr>Графік погашення ануітет</vt:lpstr>
      <vt:lpstr>Графік погашення Тойота Легко</vt:lpstr>
      <vt:lpstr>Витрати</vt:lpstr>
      <vt:lpstr>Витрати!Print_Area</vt:lpstr>
      <vt:lpstr>'Вхідні данні'!Print_Area</vt:lpstr>
      <vt:lpstr>'Графік погашення Multistep'!Print_Area</vt:lpstr>
      <vt:lpstr>'Графік погашення ануітет'!Print_Area</vt:lpstr>
      <vt:lpstr>'Графік погашення стандартний'!Print_Area</vt:lpstr>
      <vt:lpstr>'Графік погашення Тойота Легко'!Print_Area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SVD</dc:creator>
  <cp:lastModifiedBy>DEMCHENKO Serhii Viktorovych</cp:lastModifiedBy>
  <cp:lastPrinted>2021-06-24T08:19:00Z</cp:lastPrinted>
  <dcterms:created xsi:type="dcterms:W3CDTF">2021-03-30T13:40:15Z</dcterms:created>
  <dcterms:modified xsi:type="dcterms:W3CDTF">2022-07-13T08:29:30Z</dcterms:modified>
</cp:coreProperties>
</file>